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ericv\Hardware\OpenAquatix-Hardware\v2\src\Calculations\"/>
    </mc:Choice>
  </mc:AlternateContent>
  <xr:revisionPtr revIDLastSave="0" documentId="13_ncr:1_{C3A4CB2E-412D-4CEB-B702-03E25459D832}" xr6:coauthVersionLast="47" xr6:coauthVersionMax="47" xr10:uidLastSave="{00000000-0000-0000-0000-000000000000}"/>
  <workbookProtection workbookAlgorithmName="SHA-512" workbookHashValue="gc34FGggw3Ir8zQVSgaZChUqrVvVKYZwhSXpduqtPUD6nQuIaEe42JJKFmE/OmtpkzYp1ZfCj82eR88ZFlGbkQ==" workbookSaltValue="MvI2n84VClkXRpVOZBZk3g==" workbookSpinCount="100000" lockStructure="1"/>
  <bookViews>
    <workbookView xWindow="-120" yWindow="-120" windowWidth="29040" windowHeight="15720" xr2:uid="{00000000-000D-0000-FFFF-FFFF00000000}"/>
  </bookViews>
  <sheets>
    <sheet name="Design Converter" sheetId="1" r:id="rId1"/>
    <sheet name="Variable_Management" sheetId="2" state="hidden" r:id="rId2"/>
    <sheet name="Eff_vs_IOUT" sheetId="4" state="hidden" r:id="rId3"/>
    <sheet name="Loop_Modeling" sheetId="5" state="hidden" r:id="rId4"/>
    <sheet name="Constants" sheetId="3" state="hidden" r:id="rId5"/>
    <sheet name="Plot_Management_Eff" sheetId="6" state="hidden" r:id="rId6"/>
    <sheet name="Plot_Management_Sch" sheetId="7" state="hidden" r:id="rId7"/>
    <sheet name="Lists" sheetId="8" state="hidden" r:id="rId8"/>
    <sheet name="Licenses" sheetId="10" r:id="rId9"/>
    <sheet name="Sheet1" sheetId="9" state="hidden" r:id="rId10"/>
  </sheets>
  <externalReferences>
    <externalReference r:id="rId11"/>
  </externalReferences>
  <definedNames>
    <definedName name="Acs">Constants!$B$30</definedName>
    <definedName name="Adc">Loop_Modeling!$B$35</definedName>
    <definedName name="Adc_ea">Loop_Modeling!$B$61</definedName>
    <definedName name="ADC_VINmin">Variable_Management!$B$189</definedName>
    <definedName name="CCOMP">Variable_Management!$B$230</definedName>
    <definedName name="CComp_calc">Variable_Management!$B$229</definedName>
    <definedName name="CHF">Variable_Management!$B$232</definedName>
    <definedName name="Comp_calc">Variable_Management!$B$229</definedName>
    <definedName name="CondMode">OFFSET(Lists!$B$9,0,0,COUNTIF(Lists!$B$9:$B$11,"?CM*"),1)</definedName>
    <definedName name="Cout">Variable_Management!$B$155</definedName>
    <definedName name="Cout_min">Variable_Management!$B$153</definedName>
    <definedName name="D_limit_max">Constants!$B$18</definedName>
    <definedName name="D_limit_min">Constants!$B$16</definedName>
    <definedName name="D_limit_nom">Constants!$B$17</definedName>
    <definedName name="Dc_CCM_VIN_max">Variable_Management!$B$50</definedName>
    <definedName name="Dc_CCM_VIN_min">Variable_Management!$B$42</definedName>
    <definedName name="Dc_CCM_VIN_nom">Variable_Management!$B$46</definedName>
    <definedName name="Dc_DCM_VIN_nom">Variable_Management!$B$62</definedName>
    <definedName name="Dc_max_IC">Variable_Management!$B$21</definedName>
    <definedName name="Dc_max_ideal">Variable_Management!$A$20</definedName>
    <definedName name="Dc_Mode">Variable_Management!$B$36</definedName>
    <definedName name="Dc_Mode_Loop">Loop_Modeling!$B$14</definedName>
    <definedName name="Dc_rip_max">Variable_Management!$B$79</definedName>
    <definedName name="Dc_VIN_max">Variable_Management!$B$31</definedName>
    <definedName name="Dc_VIN_min">Variable_Management!$B$23</definedName>
    <definedName name="Dc_VIN_nom">Variable_Management!$B$27</definedName>
    <definedName name="display_SCH">INDIRECT(Plot_Management_Sch!$A$1)</definedName>
    <definedName name="EFF_est">Variable_Management!$B$17</definedName>
    <definedName name="Eff_vs_IOUT">Plot_Management_Eff!$C$3</definedName>
    <definedName name="fcross">Variable_Management!$B$213</definedName>
    <definedName name="fcross_est">Variable_Management!$B$212</definedName>
    <definedName name="FIR_BYPASSED">'[1]Digital Filter'!$T$84</definedName>
    <definedName name="fp_ea_est">Variable_Management!$B$223</definedName>
    <definedName name="Fsw">Variable_Management!$B$10</definedName>
    <definedName name="fz_ea_est">Variable_Management!$B$221</definedName>
    <definedName name="fz_rhp">Variable_Management!$B$198</definedName>
    <definedName name="Gcomp">Constants!$B$29</definedName>
    <definedName name="Gea_mid_calc">Variable_Management!$B$217</definedName>
    <definedName name="gfs">Variable_Management!$B$249</definedName>
    <definedName name="gm_ea">Constants!$B$34</definedName>
    <definedName name="Gplant_fc_dB">Loop_Modeling!$AD$7</definedName>
    <definedName name="IIN_33">Variable_Management!$B$81</definedName>
    <definedName name="IL_avg_VIN_max">Variable_Management!$B$33</definedName>
    <definedName name="IL_avg_VIN_min">Variable_Management!$B$25</definedName>
    <definedName name="IL_avg_VIN_nom">Variable_Management!$B$29</definedName>
    <definedName name="IL_pk">Variable_Management!$B$142</definedName>
    <definedName name="IL_pk_max">Variable_Management!$B$143</definedName>
    <definedName name="ILp_VINmax">Variable_Management!$B$119</definedName>
    <definedName name="ILp_VINmin">Variable_Management!$B$113</definedName>
    <definedName name="ILp_VINnom">Variable_Management!$B$116</definedName>
    <definedName name="ILrip">Variable_Management!$B$71</definedName>
    <definedName name="ILrip_VINmax">Variable_Management!$B$118</definedName>
    <definedName name="ILrip_VINmin">Variable_Management!$B$112</definedName>
    <definedName name="ILrip_VINnom">Variable_Management!$B$115</definedName>
    <definedName name="IOUT">Variable_Management!$B$14</definedName>
    <definedName name="Ipk_margin">Variable_Management!$B$122</definedName>
    <definedName name="Ipk_selected">Variable_Management!$B$123</definedName>
    <definedName name="IQ">Constants!$B$48</definedName>
    <definedName name="IRMS_COUT">Variable_Management!$B$154</definedName>
    <definedName name="Isl">Constants!$B$25</definedName>
    <definedName name="Iss">Constants!$B$37</definedName>
    <definedName name="Kslope">Variable_Management!$B$130</definedName>
    <definedName name="L_DCM">Variable_Management!$B$89</definedName>
    <definedName name="Lm">Variable_Management!$B$84</definedName>
    <definedName name="Lopt">Variable_Management!$B$76</definedName>
    <definedName name="Lopt_2">Variable_Management!$B$82</definedName>
    <definedName name="POUT">Variable_Management!$B$16</definedName>
    <definedName name="_xlnm.Print_Area" localSheetId="0">'Design Converter'!$A$1:$Z$100</definedName>
    <definedName name="Q">Loop_Modeling!$B$49</definedName>
    <definedName name="Q_VINmin">Variable_Management!$B$206</definedName>
    <definedName name="Qg_tot">Variable_Management!$B$244</definedName>
    <definedName name="Qgd">Variable_Management!$B$245</definedName>
    <definedName name="Qgs">Variable_Management!$B$246</definedName>
    <definedName name="Qrr">Variable_Management!$B$239</definedName>
    <definedName name="R_cs">Variable_Management!$B$138</definedName>
    <definedName name="R_sl">Variable_Management!$B$139</definedName>
    <definedName name="RCOMP">Variable_Management!$B$228</definedName>
    <definedName name="Rcomp_calc">Variable_Management!$B$227</definedName>
    <definedName name="Rcs_max">Variable_Management!$B$127</definedName>
    <definedName name="Rcs_w_sl">Variable_Management!$B$131</definedName>
    <definedName name="Rcs_wo_sl">Variable_Management!$B$128</definedName>
    <definedName name="Rdcr">Variable_Management!$B$85</definedName>
    <definedName name="RDS_on">Variable_Management!$B$243</definedName>
    <definedName name="Resr">Variable_Management!$B$156</definedName>
    <definedName name="RFBB">Variable_Management!$B$184</definedName>
    <definedName name="RFBB_calc">Variable_Management!$B$183</definedName>
    <definedName name="RFBT">Variable_Management!$B$182</definedName>
    <definedName name="Rgate">Variable_Management!$B$247</definedName>
    <definedName name="ROUT">Variable_Management!$B$15</definedName>
    <definedName name="Rsl_int">Constants!$B$26</definedName>
    <definedName name="Rsl_max">Constants!$B$28</definedName>
    <definedName name="RT">Variable_Management!$B$11</definedName>
    <definedName name="Ruvlo_bottom_calc">Variable_Management!$B$173</definedName>
    <definedName name="Ruvlo_top">Variable_Management!$B$172</definedName>
    <definedName name="Ruvlo_top_calc">Variable_Management!$B$171</definedName>
    <definedName name="SCH_1">Plot_Management_Sch!$B$2</definedName>
    <definedName name="SCH_2">Plot_Management_Sch!$B$4</definedName>
    <definedName name="Se_VINmin">Variable_Management!$B$202</definedName>
    <definedName name="Sn_VINmin">Variable_Management!$B$203</definedName>
    <definedName name="tf_sw">Variable_Management!$B$256</definedName>
    <definedName name="tr_sw">Variable_Management!$B$255</definedName>
    <definedName name="tss">Variable_Management!$B$162</definedName>
    <definedName name="UV_fall">Constants!$B$41</definedName>
    <definedName name="UV_I_hyst">Constants!$B$42</definedName>
    <definedName name="UV_rise">Constants!$B$40</definedName>
    <definedName name="Vcc">Constants!$B$45</definedName>
    <definedName name="Vcl">Constants!$B$27</definedName>
    <definedName name="Vd_rect">Variable_Management!$B$238</definedName>
    <definedName name="VIN_33">Variable_Management!$B$80</definedName>
    <definedName name="VIN_max">Variable_Management!$B$9</definedName>
    <definedName name="VIN_min">Variable_Management!$B$7</definedName>
    <definedName name="VIN_nom">Variable_Management!$B$8</definedName>
    <definedName name="VIN_op_max">Constants!$B$52</definedName>
    <definedName name="VIN_op_max_56">Constants!$B$53</definedName>
    <definedName name="VIN_op_min">Constants!$B$51</definedName>
    <definedName name="VIN_var">Variable_Management!$B$8</definedName>
    <definedName name="VOUT">Variable_Management!$B$13</definedName>
    <definedName name="Vout_rip_sel">Variable_Management!$B$152</definedName>
    <definedName name="Vref">Constants!$B$33</definedName>
    <definedName name="Vth">Variable_Management!$B$250</definedName>
    <definedName name="Vuvlo_off">Variable_Management!$B$167</definedName>
    <definedName name="Vuvlo_on">Variable_Management!$B$166</definedName>
    <definedName name="wp_hf">Loop_Modeling!$B$50</definedName>
    <definedName name="wp_lf">Loop_Modeling!$B$36</definedName>
    <definedName name="wp_lf_VINmin">Variable_Management!$B$191</definedName>
    <definedName name="wp0_ea">Loop_Modeling!$B$63</definedName>
    <definedName name="wp1_ea">Loop_Modeling!$B$64</definedName>
    <definedName name="wsl">Loop_Modeling!$B$48</definedName>
    <definedName name="wsl_VINmin">Variable_Management!$B$205</definedName>
    <definedName name="wz_ea">Loop_Modeling!$B$62</definedName>
    <definedName name="wz_esr">Loop_Modeling!$B$42</definedName>
    <definedName name="wz_esr_VINmin">Variable_Management!$B$194</definedName>
    <definedName name="wz_rhp">Loop_Modeling!$B$39</definedName>
    <definedName name="wz_RHP_VINmin">Variable_Management!$B$197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c r="B36" i="2" l="1"/>
  <c r="M126" i="2"/>
  <c r="B2" i="6"/>
  <c r="B48" i="3"/>
  <c r="B251" i="2"/>
  <c r="B250" i="2"/>
  <c r="B249" i="2"/>
  <c r="B247" i="2"/>
  <c r="B246" i="2"/>
  <c r="B245" i="2"/>
  <c r="B244" i="2"/>
  <c r="B243" i="2"/>
  <c r="B239" i="2"/>
  <c r="B238" i="2"/>
  <c r="B172" i="2"/>
  <c r="B42" i="3"/>
  <c r="B170" i="2" s="1"/>
  <c r="B169" i="2"/>
  <c r="B168" i="2"/>
  <c r="B167" i="2"/>
  <c r="B166" i="2"/>
  <c r="B162" i="2"/>
  <c r="B37" i="3"/>
  <c r="B160" i="2" s="1"/>
  <c r="B213" i="2"/>
  <c r="O8" i="5" s="1"/>
  <c r="B34" i="3"/>
  <c r="O548" i="5"/>
  <c r="O549" i="5"/>
  <c r="O550" i="5"/>
  <c r="O551" i="5"/>
  <c r="O552" i="5"/>
  <c r="O553" i="5"/>
  <c r="O554" i="5"/>
  <c r="O555" i="5"/>
  <c r="O556" i="5"/>
  <c r="O557" i="5"/>
  <c r="O558" i="5"/>
  <c r="O559" i="5"/>
  <c r="O560" i="5"/>
  <c r="O537" i="5"/>
  <c r="O538" i="5"/>
  <c r="O539" i="5"/>
  <c r="O540" i="5"/>
  <c r="O541" i="5"/>
  <c r="O542" i="5"/>
  <c r="O543" i="5"/>
  <c r="O544" i="5"/>
  <c r="O545" i="5"/>
  <c r="O546" i="5"/>
  <c r="O547" i="5"/>
  <c r="O520" i="5"/>
  <c r="O521" i="5"/>
  <c r="O522" i="5"/>
  <c r="O523" i="5"/>
  <c r="O524" i="5"/>
  <c r="O525" i="5"/>
  <c r="O526" i="5"/>
  <c r="O527" i="5"/>
  <c r="O528" i="5"/>
  <c r="O529" i="5"/>
  <c r="O530" i="5"/>
  <c r="O531" i="5"/>
  <c r="O532" i="5"/>
  <c r="O533" i="5"/>
  <c r="O534" i="5"/>
  <c r="O535" i="5"/>
  <c r="O536" i="5"/>
  <c r="O5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4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3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2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1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9" i="5"/>
  <c r="B29" i="3"/>
  <c r="B31" i="5" s="1"/>
  <c r="B182" i="2"/>
  <c r="B55" i="5" s="1"/>
  <c r="B184" i="2"/>
  <c r="B56" i="5" s="1"/>
  <c r="B230" i="2"/>
  <c r="B232" i="2"/>
  <c r="B59" i="5" s="1"/>
  <c r="B228" i="2"/>
  <c r="B28" i="5"/>
  <c r="B156" i="2"/>
  <c r="B155" i="2"/>
  <c r="B152" i="2"/>
  <c r="B144" i="2"/>
  <c r="B139" i="2"/>
  <c r="B27" i="5" s="1"/>
  <c r="B138" i="2"/>
  <c r="B26" i="5" s="1"/>
  <c r="B27" i="3"/>
  <c r="B25" i="3"/>
  <c r="B122" i="2"/>
  <c r="B85" i="2"/>
  <c r="B84" i="2"/>
  <c r="B22" i="3"/>
  <c r="B71" i="2"/>
  <c r="B10" i="2"/>
  <c r="AP87" i="4" s="1"/>
  <c r="B14" i="3"/>
  <c r="B12" i="3"/>
  <c r="B10" i="3"/>
  <c r="B17" i="2"/>
  <c r="B14" i="2"/>
  <c r="H85" i="1" s="1"/>
  <c r="B13" i="2"/>
  <c r="B9" i="2"/>
  <c r="B5" i="8" s="1"/>
  <c r="B8" i="2"/>
  <c r="T121" i="4" s="1"/>
  <c r="B7" i="2"/>
  <c r="B21" i="5" l="1"/>
  <c r="B10" i="5"/>
  <c r="B89" i="2"/>
  <c r="B194" i="2"/>
  <c r="B195" i="2" s="1"/>
  <c r="B63" i="5"/>
  <c r="AG433" i="5" s="1"/>
  <c r="T130" i="4"/>
  <c r="AQ130" i="4" s="1"/>
  <c r="T118" i="4"/>
  <c r="AQ118" i="4" s="1"/>
  <c r="T29" i="4"/>
  <c r="AQ29" i="4" s="1"/>
  <c r="T31" i="4"/>
  <c r="AQ31" i="4" s="1"/>
  <c r="T63" i="4"/>
  <c r="AQ63" i="4" s="1"/>
  <c r="T138" i="4"/>
  <c r="AQ138" i="4" s="1"/>
  <c r="T126" i="4"/>
  <c r="AQ126" i="4" s="1"/>
  <c r="T49" i="4"/>
  <c r="AQ49" i="4" s="1"/>
  <c r="T19" i="4"/>
  <c r="AQ19" i="4" s="1"/>
  <c r="T74" i="4"/>
  <c r="AQ74" i="4" s="1"/>
  <c r="T54" i="4"/>
  <c r="AQ54" i="4" s="1"/>
  <c r="T28" i="4"/>
  <c r="AQ28" i="4" s="1"/>
  <c r="T132" i="4"/>
  <c r="AQ132" i="4" s="1"/>
  <c r="T13" i="4"/>
  <c r="AQ13" i="4" s="1"/>
  <c r="T144" i="4"/>
  <c r="AQ144" i="4" s="1"/>
  <c r="T124" i="4"/>
  <c r="AQ124" i="4" s="1"/>
  <c r="T151" i="4"/>
  <c r="AQ151" i="4" s="1"/>
  <c r="T88" i="4"/>
  <c r="AQ88" i="4" s="1"/>
  <c r="T76" i="4"/>
  <c r="AQ76" i="4" s="1"/>
  <c r="R84" i="4"/>
  <c r="B36" i="5"/>
  <c r="Q96" i="5" s="1"/>
  <c r="T33" i="4"/>
  <c r="AQ33" i="4" s="1"/>
  <c r="B35" i="5"/>
  <c r="T79" i="4"/>
  <c r="AQ79" i="4" s="1"/>
  <c r="B58" i="5"/>
  <c r="R62" i="4"/>
  <c r="B15" i="2"/>
  <c r="R143" i="4"/>
  <c r="B16" i="2"/>
  <c r="H15" i="1" s="1"/>
  <c r="B20" i="5"/>
  <c r="R79" i="4"/>
  <c r="R105" i="4"/>
  <c r="R34" i="4"/>
  <c r="B45" i="5"/>
  <c r="B11" i="2"/>
  <c r="H13" i="1" s="1"/>
  <c r="B19" i="3"/>
  <c r="B20" i="3" s="1"/>
  <c r="B21" i="2" s="1"/>
  <c r="H16" i="1" s="1"/>
  <c r="B13" i="5"/>
  <c r="AP56" i="4"/>
  <c r="K21" i="2"/>
  <c r="AP30" i="4"/>
  <c r="AP116" i="4"/>
  <c r="AP115" i="4"/>
  <c r="AP66" i="4"/>
  <c r="AP49" i="4"/>
  <c r="O12" i="4"/>
  <c r="T30" i="4"/>
  <c r="AQ30" i="4" s="1"/>
  <c r="T152" i="4"/>
  <c r="AQ152" i="4" s="1"/>
  <c r="T82" i="4"/>
  <c r="AQ82" i="4" s="1"/>
  <c r="T27" i="4"/>
  <c r="AQ27" i="4" s="1"/>
  <c r="T137" i="4"/>
  <c r="AQ137" i="4" s="1"/>
  <c r="T105" i="4"/>
  <c r="AQ105" i="4" s="1"/>
  <c r="T80" i="4"/>
  <c r="AQ80" i="4" s="1"/>
  <c r="T24" i="4"/>
  <c r="AQ24" i="4" s="1"/>
  <c r="T62" i="4"/>
  <c r="AQ62" i="4" s="1"/>
  <c r="T93" i="4"/>
  <c r="AQ93" i="4" s="1"/>
  <c r="R141" i="4"/>
  <c r="R133" i="4"/>
  <c r="R98" i="4"/>
  <c r="R155" i="4"/>
  <c r="R76" i="4"/>
  <c r="T136" i="4"/>
  <c r="AQ136" i="4" s="1"/>
  <c r="T21" i="4"/>
  <c r="AQ21" i="4" s="1"/>
  <c r="T110" i="4"/>
  <c r="AQ110" i="4" s="1"/>
  <c r="T133" i="4"/>
  <c r="AQ133" i="4" s="1"/>
  <c r="T59" i="4"/>
  <c r="AQ59" i="4" s="1"/>
  <c r="B39" i="5"/>
  <c r="W161" i="5" s="1"/>
  <c r="Y161" i="5" s="1"/>
  <c r="T128" i="4"/>
  <c r="AQ128" i="4" s="1"/>
  <c r="T64" i="4"/>
  <c r="AQ64" i="4" s="1"/>
  <c r="T15" i="4"/>
  <c r="AQ15" i="4" s="1"/>
  <c r="T122" i="4"/>
  <c r="AQ122" i="4" s="1"/>
  <c r="T58" i="4"/>
  <c r="AQ58" i="4" s="1"/>
  <c r="T108" i="4"/>
  <c r="AQ108" i="4" s="1"/>
  <c r="T60" i="4"/>
  <c r="AQ60" i="4" s="1"/>
  <c r="T16" i="4"/>
  <c r="AQ16" i="4" s="1"/>
  <c r="T102" i="4"/>
  <c r="AQ102" i="4" s="1"/>
  <c r="T40" i="4"/>
  <c r="AQ40" i="4" s="1"/>
  <c r="T9" i="4"/>
  <c r="AQ9" i="4" s="1"/>
  <c r="T147" i="4"/>
  <c r="AQ147" i="4" s="1"/>
  <c r="T131" i="4"/>
  <c r="AQ131" i="4" s="1"/>
  <c r="T115" i="4"/>
  <c r="AQ115" i="4" s="1"/>
  <c r="T101" i="4"/>
  <c r="AQ101" i="4" s="1"/>
  <c r="T87" i="4"/>
  <c r="AQ87" i="4" s="1"/>
  <c r="T73" i="4"/>
  <c r="T57" i="4"/>
  <c r="AQ57" i="4" s="1"/>
  <c r="T43" i="4"/>
  <c r="AQ43" i="4" s="1"/>
  <c r="T103" i="4"/>
  <c r="AQ103" i="4" s="1"/>
  <c r="T77" i="4"/>
  <c r="AQ77" i="4" s="1"/>
  <c r="T25" i="4"/>
  <c r="AQ25" i="4" s="1"/>
  <c r="T72" i="4"/>
  <c r="AQ72" i="4" s="1"/>
  <c r="T66" i="4"/>
  <c r="AQ66" i="4" s="1"/>
  <c r="T20" i="4"/>
  <c r="AQ20" i="4" s="1"/>
  <c r="T149" i="4"/>
  <c r="AQ149" i="4" s="1"/>
  <c r="T75" i="4"/>
  <c r="AQ75" i="4" s="1"/>
  <c r="T120" i="4"/>
  <c r="AQ120" i="4" s="1"/>
  <c r="T56" i="4"/>
  <c r="AQ56" i="4" s="1"/>
  <c r="T12" i="4"/>
  <c r="AQ12" i="4" s="1"/>
  <c r="T114" i="4"/>
  <c r="AQ114" i="4" s="1"/>
  <c r="T50" i="4"/>
  <c r="AQ50" i="4" s="1"/>
  <c r="T14" i="4"/>
  <c r="AQ14" i="4" s="1"/>
  <c r="T52" i="4"/>
  <c r="AQ52" i="4" s="1"/>
  <c r="T8" i="4"/>
  <c r="AQ8" i="4" s="1"/>
  <c r="T94" i="4"/>
  <c r="AQ94" i="4" s="1"/>
  <c r="T37" i="4"/>
  <c r="AQ37" i="4" s="1"/>
  <c r="T145" i="4"/>
  <c r="AQ145" i="4" s="1"/>
  <c r="T129" i="4"/>
  <c r="AQ129" i="4" s="1"/>
  <c r="T113" i="4"/>
  <c r="AQ113" i="4" s="1"/>
  <c r="T99" i="4"/>
  <c r="AQ99" i="4" s="1"/>
  <c r="T71" i="4"/>
  <c r="AQ71" i="4" s="1"/>
  <c r="T55" i="4"/>
  <c r="AQ55" i="4" s="1"/>
  <c r="T41" i="4"/>
  <c r="AQ41" i="4" s="1"/>
  <c r="T17" i="4"/>
  <c r="AQ17" i="4" s="1"/>
  <c r="T89" i="4"/>
  <c r="AQ89" i="4" s="1"/>
  <c r="O9" i="4"/>
  <c r="T112" i="4"/>
  <c r="AQ112" i="4" s="1"/>
  <c r="T48" i="4"/>
  <c r="AQ48" i="4" s="1"/>
  <c r="T106" i="4"/>
  <c r="AQ106" i="4" s="1"/>
  <c r="T42" i="4"/>
  <c r="AQ42" i="4" s="1"/>
  <c r="T156" i="4"/>
  <c r="AQ156" i="4" s="1"/>
  <c r="T100" i="4"/>
  <c r="AQ100" i="4" s="1"/>
  <c r="T44" i="4"/>
  <c r="AQ44" i="4" s="1"/>
  <c r="T150" i="4"/>
  <c r="AQ150" i="4" s="1"/>
  <c r="T86" i="4"/>
  <c r="AQ86" i="4" s="1"/>
  <c r="T26" i="4"/>
  <c r="AQ26" i="4" s="1"/>
  <c r="T157" i="4"/>
  <c r="AQ157" i="4" s="1"/>
  <c r="T143" i="4"/>
  <c r="AQ143" i="4" s="1"/>
  <c r="T127" i="4"/>
  <c r="AQ127" i="4" s="1"/>
  <c r="T111" i="4"/>
  <c r="AQ111" i="4" s="1"/>
  <c r="T97" i="4"/>
  <c r="AQ97" i="4" s="1"/>
  <c r="T85" i="4"/>
  <c r="AQ85" i="4" s="1"/>
  <c r="T69" i="4"/>
  <c r="AQ69" i="4" s="1"/>
  <c r="T38" i="4"/>
  <c r="AQ38" i="4" s="1"/>
  <c r="T135" i="4"/>
  <c r="AQ135" i="4" s="1"/>
  <c r="T91" i="4"/>
  <c r="AQ91" i="4" s="1"/>
  <c r="T47" i="4"/>
  <c r="AQ47" i="4" s="1"/>
  <c r="B46" i="5"/>
  <c r="T68" i="4"/>
  <c r="AQ68" i="4" s="1"/>
  <c r="T11" i="4"/>
  <c r="AQ11" i="4" s="1"/>
  <c r="T45" i="4"/>
  <c r="AQ45" i="4" s="1"/>
  <c r="T7" i="4"/>
  <c r="AQ7" i="4" s="1"/>
  <c r="T10" i="4"/>
  <c r="AQ10" i="4" s="1"/>
  <c r="T104" i="4"/>
  <c r="AQ104" i="4" s="1"/>
  <c r="T36" i="4"/>
  <c r="AQ36" i="4" s="1"/>
  <c r="T154" i="4"/>
  <c r="AQ154" i="4" s="1"/>
  <c r="T98" i="4"/>
  <c r="AQ98" i="4" s="1"/>
  <c r="T39" i="4"/>
  <c r="AQ39" i="4" s="1"/>
  <c r="T148" i="4"/>
  <c r="AQ148" i="4" s="1"/>
  <c r="T92" i="4"/>
  <c r="AQ92" i="4" s="1"/>
  <c r="T142" i="4"/>
  <c r="AQ142" i="4" s="1"/>
  <c r="T78" i="4"/>
  <c r="AQ78" i="4" s="1"/>
  <c r="T23" i="4"/>
  <c r="AQ23" i="4" s="1"/>
  <c r="T155" i="4"/>
  <c r="AQ155" i="4" s="1"/>
  <c r="T141" i="4"/>
  <c r="T125" i="4"/>
  <c r="AQ125" i="4" s="1"/>
  <c r="T109" i="4"/>
  <c r="AQ109" i="4" s="1"/>
  <c r="T95" i="4"/>
  <c r="AQ95" i="4" s="1"/>
  <c r="T83" i="4"/>
  <c r="AQ83" i="4" s="1"/>
  <c r="T67" i="4"/>
  <c r="AQ67" i="4" s="1"/>
  <c r="T53" i="4"/>
  <c r="AQ53" i="4" s="1"/>
  <c r="B11" i="5"/>
  <c r="T119" i="4"/>
  <c r="AQ119" i="4" s="1"/>
  <c r="T61" i="4"/>
  <c r="AQ61" i="4" s="1"/>
  <c r="T18" i="4"/>
  <c r="AQ18" i="4" s="1"/>
  <c r="T116" i="4"/>
  <c r="AQ116" i="4" s="1"/>
  <c r="T46" i="4"/>
  <c r="AQ46" i="4" s="1"/>
  <c r="T117" i="4"/>
  <c r="AQ117" i="4" s="1"/>
  <c r="T22" i="4"/>
  <c r="AQ22" i="4" s="1"/>
  <c r="B17" i="5"/>
  <c r="P15" i="5" s="1"/>
  <c r="T96" i="4"/>
  <c r="AQ96" i="4" s="1"/>
  <c r="T32" i="4"/>
  <c r="AQ32" i="4" s="1"/>
  <c r="T146" i="4"/>
  <c r="AQ146" i="4" s="1"/>
  <c r="T90" i="4"/>
  <c r="AQ90" i="4" s="1"/>
  <c r="T35" i="4"/>
  <c r="AQ35" i="4" s="1"/>
  <c r="T140" i="4"/>
  <c r="AQ140" i="4" s="1"/>
  <c r="T84" i="4"/>
  <c r="AQ84" i="4" s="1"/>
  <c r="T34" i="4"/>
  <c r="AQ34" i="4" s="1"/>
  <c r="T134" i="4"/>
  <c r="T70" i="4"/>
  <c r="AQ70" i="4" s="1"/>
  <c r="T153" i="4"/>
  <c r="AQ153" i="4" s="1"/>
  <c r="T139" i="4"/>
  <c r="AQ139" i="4" s="1"/>
  <c r="T123" i="4"/>
  <c r="AQ123" i="4" s="1"/>
  <c r="T107" i="4"/>
  <c r="AQ107" i="4" s="1"/>
  <c r="T81" i="4"/>
  <c r="AQ81" i="4" s="1"/>
  <c r="T65" i="4"/>
  <c r="AQ65" i="4" s="1"/>
  <c r="T51" i="4"/>
  <c r="AQ51" i="4" s="1"/>
  <c r="L126" i="2"/>
  <c r="K38" i="5"/>
  <c r="B24" i="5"/>
  <c r="R134" i="4"/>
  <c r="R96" i="4"/>
  <c r="R71" i="4"/>
  <c r="R20" i="4"/>
  <c r="AP109" i="4"/>
  <c r="AP59" i="4"/>
  <c r="AP25" i="4"/>
  <c r="B57" i="5"/>
  <c r="B62" i="5"/>
  <c r="AM272" i="5" s="1"/>
  <c r="R126" i="4"/>
  <c r="R77" i="4"/>
  <c r="R24" i="4"/>
  <c r="R39" i="4"/>
  <c r="AP45" i="4"/>
  <c r="AP104" i="4"/>
  <c r="R91" i="4"/>
  <c r="R69" i="4"/>
  <c r="R148" i="4"/>
  <c r="R21" i="4"/>
  <c r="AP37" i="4"/>
  <c r="AP111" i="4"/>
  <c r="R70" i="4"/>
  <c r="R12" i="4"/>
  <c r="R140" i="4"/>
  <c r="AP128" i="4"/>
  <c r="AP156" i="4"/>
  <c r="B42" i="2"/>
  <c r="B3" i="8"/>
  <c r="AP33" i="4"/>
  <c r="AP58" i="4"/>
  <c r="AP127" i="4"/>
  <c r="AP123" i="4"/>
  <c r="AP148" i="4"/>
  <c r="AP53" i="4"/>
  <c r="AP94" i="4"/>
  <c r="B199" i="2"/>
  <c r="AP81" i="4"/>
  <c r="AP74" i="4"/>
  <c r="AP120" i="4"/>
  <c r="AP20" i="4"/>
  <c r="AP15" i="4"/>
  <c r="AP117" i="4"/>
  <c r="AP142" i="4"/>
  <c r="AP89" i="4"/>
  <c r="AP130" i="4"/>
  <c r="AP11" i="4"/>
  <c r="AP28" i="4"/>
  <c r="AP64" i="4"/>
  <c r="AP133" i="4"/>
  <c r="AP150" i="4"/>
  <c r="AP97" i="4"/>
  <c r="AP138" i="4"/>
  <c r="AP43" i="4"/>
  <c r="AP36" i="4"/>
  <c r="AP88" i="4"/>
  <c r="AP14" i="4"/>
  <c r="AP7" i="4"/>
  <c r="AP153" i="4"/>
  <c r="AP154" i="4"/>
  <c r="AP51" i="4"/>
  <c r="AP92" i="4"/>
  <c r="AP144" i="4"/>
  <c r="AP22" i="4"/>
  <c r="AP32" i="4"/>
  <c r="R10" i="4"/>
  <c r="R135" i="4"/>
  <c r="AP110" i="4"/>
  <c r="AP100" i="4"/>
  <c r="AP26" i="4"/>
  <c r="AP86" i="4"/>
  <c r="AP139" i="4"/>
  <c r="AP10" i="4"/>
  <c r="R19" i="4"/>
  <c r="R30" i="4"/>
  <c r="R100" i="4"/>
  <c r="R14" i="4"/>
  <c r="R95" i="4"/>
  <c r="R9" i="4"/>
  <c r="R93" i="4"/>
  <c r="R157" i="4"/>
  <c r="R86" i="4"/>
  <c r="R150" i="4"/>
  <c r="B191" i="2"/>
  <c r="B192" i="2" s="1"/>
  <c r="B220" i="2" s="1"/>
  <c r="B221" i="2" s="1"/>
  <c r="R23" i="4"/>
  <c r="R44" i="4"/>
  <c r="R108" i="4"/>
  <c r="R38" i="4"/>
  <c r="R103" i="4"/>
  <c r="R18" i="4"/>
  <c r="R101" i="4"/>
  <c r="R22" i="4"/>
  <c r="R94" i="4"/>
  <c r="R8" i="4"/>
  <c r="R27" i="4"/>
  <c r="R52" i="4"/>
  <c r="R116" i="4"/>
  <c r="R47" i="4"/>
  <c r="R111" i="4"/>
  <c r="R45" i="4"/>
  <c r="R109" i="4"/>
  <c r="R40" i="4"/>
  <c r="R102" i="4"/>
  <c r="R35" i="4"/>
  <c r="R68" i="4"/>
  <c r="R132" i="4"/>
  <c r="R63" i="4"/>
  <c r="R127" i="4"/>
  <c r="R61" i="4"/>
  <c r="R125" i="4"/>
  <c r="R54" i="4"/>
  <c r="R118" i="4"/>
  <c r="R7" i="4"/>
  <c r="R37" i="4"/>
  <c r="R73" i="4"/>
  <c r="R137" i="4"/>
  <c r="R66" i="4"/>
  <c r="R130" i="4"/>
  <c r="R64" i="4"/>
  <c r="R128" i="4"/>
  <c r="R59" i="4"/>
  <c r="R123" i="4"/>
  <c r="B42" i="5"/>
  <c r="T64" i="5" s="1"/>
  <c r="B183" i="2"/>
  <c r="H61" i="1" s="1"/>
  <c r="B62" i="2"/>
  <c r="B66" i="2"/>
  <c r="Q51" i="1"/>
  <c r="B127" i="2"/>
  <c r="B141" i="2"/>
  <c r="K141" i="2" s="1"/>
  <c r="B254" i="2"/>
  <c r="B256" i="2" s="1"/>
  <c r="B163" i="2"/>
  <c r="H47" i="1" s="1"/>
  <c r="K8" i="2"/>
  <c r="B60" i="2"/>
  <c r="B58" i="2"/>
  <c r="B203" i="2"/>
  <c r="H57" i="1"/>
  <c r="B179" i="2" s="1"/>
  <c r="O7" i="5"/>
  <c r="B219" i="2"/>
  <c r="AQ121" i="4"/>
  <c r="B48" i="2"/>
  <c r="B50" i="2"/>
  <c r="B31" i="2" s="1"/>
  <c r="B12" i="5"/>
  <c r="AP41" i="4"/>
  <c r="AP105" i="4"/>
  <c r="AP18" i="4"/>
  <c r="AP82" i="4"/>
  <c r="AP146" i="4"/>
  <c r="AP143" i="4"/>
  <c r="AP136" i="4"/>
  <c r="AP67" i="4"/>
  <c r="AP131" i="4"/>
  <c r="AP44" i="4"/>
  <c r="AP108" i="4"/>
  <c r="AP47" i="4"/>
  <c r="AP112" i="4"/>
  <c r="AP61" i="4"/>
  <c r="AP125" i="4"/>
  <c r="AP38" i="4"/>
  <c r="AP102" i="4"/>
  <c r="AP23" i="4"/>
  <c r="AP96" i="4"/>
  <c r="B48" i="5"/>
  <c r="B205" i="2"/>
  <c r="AP57" i="4"/>
  <c r="AP121" i="4"/>
  <c r="AP34" i="4"/>
  <c r="AP98" i="4"/>
  <c r="AP31" i="4"/>
  <c r="AP24" i="4"/>
  <c r="AP19" i="4"/>
  <c r="AP83" i="4"/>
  <c r="AP147" i="4"/>
  <c r="AP60" i="4"/>
  <c r="AP124" i="4"/>
  <c r="AP103" i="4"/>
  <c r="AP13" i="4"/>
  <c r="AP77" i="4"/>
  <c r="AP141" i="4"/>
  <c r="AP54" i="4"/>
  <c r="AP118" i="4"/>
  <c r="AP63" i="4"/>
  <c r="AP152" i="4"/>
  <c r="O15" i="4"/>
  <c r="K126" i="2"/>
  <c r="M8" i="4"/>
  <c r="AP65" i="4"/>
  <c r="AP129" i="4"/>
  <c r="AP42" i="4"/>
  <c r="AP106" i="4"/>
  <c r="AP55" i="4"/>
  <c r="AP48" i="4"/>
  <c r="AP27" i="4"/>
  <c r="AP91" i="4"/>
  <c r="AP155" i="4"/>
  <c r="AP68" i="4"/>
  <c r="AP132" i="4"/>
  <c r="AP135" i="4"/>
  <c r="AP21" i="4"/>
  <c r="AP85" i="4"/>
  <c r="AP149" i="4"/>
  <c r="AP62" i="4"/>
  <c r="AP126" i="4"/>
  <c r="AP95" i="4"/>
  <c r="J125" i="2"/>
  <c r="AP9" i="4"/>
  <c r="AP73" i="4"/>
  <c r="AP137" i="4"/>
  <c r="AP50" i="4"/>
  <c r="AP114" i="4"/>
  <c r="AP71" i="4"/>
  <c r="AP72" i="4"/>
  <c r="AP35" i="4"/>
  <c r="AP99" i="4"/>
  <c r="AP12" i="4"/>
  <c r="AP76" i="4"/>
  <c r="AP140" i="4"/>
  <c r="AP8" i="4"/>
  <c r="AP29" i="4"/>
  <c r="AP93" i="4"/>
  <c r="AP157" i="4"/>
  <c r="AP70" i="4"/>
  <c r="AP134" i="4"/>
  <c r="AP119" i="4"/>
  <c r="AP151" i="4"/>
  <c r="AP78" i="4"/>
  <c r="AP101" i="4"/>
  <c r="AP40" i="4"/>
  <c r="AP84" i="4"/>
  <c r="AP107" i="4"/>
  <c r="AP80" i="4"/>
  <c r="AP122" i="4"/>
  <c r="AP145" i="4"/>
  <c r="AP17" i="4"/>
  <c r="B39" i="2"/>
  <c r="H17" i="1" s="1"/>
  <c r="B189" i="2"/>
  <c r="P7" i="5" s="1"/>
  <c r="B197" i="2"/>
  <c r="B198" i="2" s="1"/>
  <c r="R25" i="4"/>
  <c r="R41" i="4"/>
  <c r="R49" i="4"/>
  <c r="R81" i="4"/>
  <c r="R113" i="4"/>
  <c r="R145" i="4"/>
  <c r="R42" i="4"/>
  <c r="R74" i="4"/>
  <c r="R106" i="4"/>
  <c r="R138" i="4"/>
  <c r="R32" i="4"/>
  <c r="R72" i="4"/>
  <c r="R104" i="4"/>
  <c r="R136" i="4"/>
  <c r="R26" i="4"/>
  <c r="R67" i="4"/>
  <c r="R99" i="4"/>
  <c r="R131" i="4"/>
  <c r="R13" i="4"/>
  <c r="B44" i="2"/>
  <c r="R29" i="4"/>
  <c r="R28" i="4"/>
  <c r="R57" i="4"/>
  <c r="R89" i="4"/>
  <c r="R121" i="4"/>
  <c r="R153" i="4"/>
  <c r="R50" i="4"/>
  <c r="R82" i="4"/>
  <c r="R114" i="4"/>
  <c r="R146" i="4"/>
  <c r="R48" i="4"/>
  <c r="R80" i="4"/>
  <c r="R112" i="4"/>
  <c r="R144" i="4"/>
  <c r="R43" i="4"/>
  <c r="R75" i="4"/>
  <c r="R107" i="4"/>
  <c r="R139" i="4"/>
  <c r="B52" i="2"/>
  <c r="B33" i="2" s="1"/>
  <c r="R15" i="4"/>
  <c r="R31" i="4"/>
  <c r="R36" i="4"/>
  <c r="R60" i="4"/>
  <c r="R92" i="4"/>
  <c r="R124" i="4"/>
  <c r="R156" i="4"/>
  <c r="R55" i="4"/>
  <c r="R87" i="4"/>
  <c r="R119" i="4"/>
  <c r="R151" i="4"/>
  <c r="R53" i="4"/>
  <c r="R85" i="4"/>
  <c r="R117" i="4"/>
  <c r="R149" i="4"/>
  <c r="R46" i="4"/>
  <c r="R78" i="4"/>
  <c r="R110" i="4"/>
  <c r="R142" i="4"/>
  <c r="B161" i="2"/>
  <c r="H45" i="1" s="1"/>
  <c r="B55" i="2"/>
  <c r="B68" i="2"/>
  <c r="R17" i="4"/>
  <c r="R33" i="4"/>
  <c r="R16" i="4"/>
  <c r="R65" i="4"/>
  <c r="R97" i="4"/>
  <c r="R129" i="4"/>
  <c r="R11" i="4"/>
  <c r="R58" i="4"/>
  <c r="R90" i="4"/>
  <c r="R122" i="4"/>
  <c r="R154" i="4"/>
  <c r="R56" i="4"/>
  <c r="R88" i="4"/>
  <c r="R120" i="4"/>
  <c r="R152" i="4"/>
  <c r="R51" i="4"/>
  <c r="R83" i="4"/>
  <c r="R115" i="4"/>
  <c r="R147" i="4"/>
  <c r="B185" i="2"/>
  <c r="J126" i="2"/>
  <c r="B29" i="5"/>
  <c r="B202" i="2"/>
  <c r="AP39" i="4"/>
  <c r="AP46" i="4"/>
  <c r="AP69" i="4"/>
  <c r="AP79" i="4"/>
  <c r="AP52" i="4"/>
  <c r="AP75" i="4"/>
  <c r="AP16" i="4"/>
  <c r="AP90" i="4"/>
  <c r="AP113" i="4"/>
  <c r="B4" i="8"/>
  <c r="B64" i="2"/>
  <c r="B46" i="2"/>
  <c r="B61" i="5"/>
  <c r="B171" i="2"/>
  <c r="H52" i="1" s="1"/>
  <c r="B173" i="2"/>
  <c r="B64" i="5"/>
  <c r="AJ64" i="5" s="1"/>
  <c r="T51" i="5"/>
  <c r="AG119" i="5" l="1"/>
  <c r="AG359" i="5"/>
  <c r="AG24" i="5"/>
  <c r="AG162" i="5"/>
  <c r="AG521" i="5"/>
  <c r="AG294" i="5"/>
  <c r="AG530" i="5"/>
  <c r="AH530" i="5" s="1"/>
  <c r="AG82" i="5"/>
  <c r="AI82" i="5" s="1"/>
  <c r="AG458" i="5"/>
  <c r="AG274" i="5"/>
  <c r="AH274" i="5" s="1"/>
  <c r="AG491" i="5"/>
  <c r="AI491" i="5" s="1"/>
  <c r="AG428" i="5"/>
  <c r="AH428" i="5" s="1"/>
  <c r="AG350" i="5"/>
  <c r="AI350" i="5" s="1"/>
  <c r="AG313" i="5"/>
  <c r="AG273" i="5"/>
  <c r="AH273" i="5" s="1"/>
  <c r="AG221" i="5"/>
  <c r="AI221" i="5" s="1"/>
  <c r="AG141" i="5"/>
  <c r="AG384" i="5"/>
  <c r="AH384" i="5" s="1"/>
  <c r="AG267" i="5"/>
  <c r="AH267" i="5" s="1"/>
  <c r="AG498" i="5"/>
  <c r="AI498" i="5" s="1"/>
  <c r="AG528" i="5"/>
  <c r="AI528" i="5" s="1"/>
  <c r="AG551" i="5"/>
  <c r="AG290" i="5"/>
  <c r="AI290" i="5" s="1"/>
  <c r="AG233" i="5"/>
  <c r="AH233" i="5" s="1"/>
  <c r="AG392" i="5"/>
  <c r="AH392" i="5" s="1"/>
  <c r="AG547" i="5"/>
  <c r="AH547" i="5" s="1"/>
  <c r="AG31" i="5"/>
  <c r="AI31" i="5" s="1"/>
  <c r="AG217" i="5"/>
  <c r="AI217" i="5" s="1"/>
  <c r="AG305" i="5"/>
  <c r="AG462" i="5"/>
  <c r="AG486" i="5"/>
  <c r="AH486" i="5" s="1"/>
  <c r="AG524" i="5"/>
  <c r="AG348" i="5"/>
  <c r="AI348" i="5" s="1"/>
  <c r="AG54" i="5"/>
  <c r="AI54" i="5" s="1"/>
  <c r="AG304" i="5"/>
  <c r="AI304" i="5" s="1"/>
  <c r="AG549" i="5"/>
  <c r="AI549" i="5" s="1"/>
  <c r="AG457" i="5"/>
  <c r="AG364" i="5"/>
  <c r="AG386" i="5"/>
  <c r="AI386" i="5" s="1"/>
  <c r="AG390" i="5"/>
  <c r="AI390" i="5" s="1"/>
  <c r="AG45" i="5"/>
  <c r="AI45" i="5" s="1"/>
  <c r="AG56" i="5"/>
  <c r="AI56" i="5" s="1"/>
  <c r="AG319" i="5"/>
  <c r="AI319" i="5" s="1"/>
  <c r="AG166" i="5"/>
  <c r="AH166" i="5" s="1"/>
  <c r="AG276" i="5"/>
  <c r="AG270" i="5"/>
  <c r="AG346" i="5"/>
  <c r="AH346" i="5" s="1"/>
  <c r="AG455" i="5"/>
  <c r="AI455" i="5" s="1"/>
  <c r="AG403" i="5"/>
  <c r="AI403" i="5" s="1"/>
  <c r="AG131" i="5"/>
  <c r="AH131" i="5" s="1"/>
  <c r="AG245" i="5"/>
  <c r="AI245" i="5" s="1"/>
  <c r="AG210" i="5"/>
  <c r="AH210" i="5" s="1"/>
  <c r="AG173" i="5"/>
  <c r="AG417" i="5"/>
  <c r="AG487" i="5"/>
  <c r="AH487" i="5" s="1"/>
  <c r="AG322" i="5"/>
  <c r="AI322" i="5" s="1"/>
  <c r="AG205" i="5"/>
  <c r="AI205" i="5" s="1"/>
  <c r="AG26" i="5"/>
  <c r="AH26" i="5" s="1"/>
  <c r="AG110" i="5"/>
  <c r="AI110" i="5" s="1"/>
  <c r="AG159" i="5"/>
  <c r="AI159" i="5" s="1"/>
  <c r="AG470" i="5"/>
  <c r="AI470" i="5" s="1"/>
  <c r="AG492" i="5"/>
  <c r="AH492" i="5" s="1"/>
  <c r="AG42" i="5"/>
  <c r="AI42" i="5" s="1"/>
  <c r="AG87" i="5"/>
  <c r="AH87" i="5" s="1"/>
  <c r="AG432" i="5"/>
  <c r="AH432" i="5" s="1"/>
  <c r="AG554" i="5"/>
  <c r="AH554" i="5" s="1"/>
  <c r="AG472" i="5"/>
  <c r="AH472" i="5" s="1"/>
  <c r="AG307" i="5"/>
  <c r="AH307" i="5" s="1"/>
  <c r="AG400" i="5"/>
  <c r="AH400" i="5" s="1"/>
  <c r="AG272" i="5"/>
  <c r="AI272" i="5" s="1"/>
  <c r="AG61" i="5"/>
  <c r="AH61" i="5" s="1"/>
  <c r="AG208" i="5"/>
  <c r="AI208" i="5" s="1"/>
  <c r="AG231" i="5"/>
  <c r="AH231" i="5" s="1"/>
  <c r="AG220" i="5"/>
  <c r="AH220" i="5" s="1"/>
  <c r="AG407" i="5"/>
  <c r="AI407" i="5" s="1"/>
  <c r="AG234" i="5"/>
  <c r="AI234" i="5" s="1"/>
  <c r="AG506" i="5"/>
  <c r="AI506" i="5" s="1"/>
  <c r="AG285" i="5"/>
  <c r="AI285" i="5" s="1"/>
  <c r="AG449" i="5"/>
  <c r="AH449" i="5" s="1"/>
  <c r="AG321" i="5"/>
  <c r="AI321" i="5" s="1"/>
  <c r="AG164" i="5"/>
  <c r="AI164" i="5" s="1"/>
  <c r="AG335" i="5"/>
  <c r="AH335" i="5" s="1"/>
  <c r="AG47" i="5"/>
  <c r="AI47" i="5" s="1"/>
  <c r="AG240" i="5"/>
  <c r="AH240" i="5" s="1"/>
  <c r="AG104" i="5"/>
  <c r="AI104" i="5" s="1"/>
  <c r="AG425" i="5"/>
  <c r="AI425" i="5" s="1"/>
  <c r="AG424" i="5"/>
  <c r="AI424" i="5" s="1"/>
  <c r="AG288" i="5"/>
  <c r="AH288" i="5" s="1"/>
  <c r="AG289" i="5"/>
  <c r="AH289" i="5" s="1"/>
  <c r="AG334" i="5"/>
  <c r="AH334" i="5" s="1"/>
  <c r="AG371" i="5"/>
  <c r="AI371" i="5" s="1"/>
  <c r="AG446" i="5"/>
  <c r="AI446" i="5" s="1"/>
  <c r="AG355" i="5"/>
  <c r="AH355" i="5" s="1"/>
  <c r="AG398" i="5"/>
  <c r="AH398" i="5" s="1"/>
  <c r="AG148" i="5"/>
  <c r="AH148" i="5" s="1"/>
  <c r="AG410" i="5"/>
  <c r="AH410" i="5" s="1"/>
  <c r="AG142" i="5"/>
  <c r="AI142" i="5" s="1"/>
  <c r="AG450" i="5"/>
  <c r="AI450" i="5" s="1"/>
  <c r="AG181" i="5"/>
  <c r="AI181" i="5" s="1"/>
  <c r="AG485" i="5"/>
  <c r="AI485" i="5" s="1"/>
  <c r="AG306" i="5"/>
  <c r="AH306" i="5" s="1"/>
  <c r="AG542" i="5"/>
  <c r="AI542" i="5" s="1"/>
  <c r="AG345" i="5"/>
  <c r="AH345" i="5" s="1"/>
  <c r="AG153" i="5"/>
  <c r="AI153" i="5" s="1"/>
  <c r="AG351" i="5"/>
  <c r="AH351" i="5" s="1"/>
  <c r="AG55" i="5"/>
  <c r="AH55" i="5" s="1"/>
  <c r="AG296" i="5"/>
  <c r="AH296" i="5" s="1"/>
  <c r="AG112" i="5"/>
  <c r="AH112" i="5" s="1"/>
  <c r="AG409" i="5"/>
  <c r="AI409" i="5" s="1"/>
  <c r="AG28" i="5"/>
  <c r="AH28" i="5" s="1"/>
  <c r="AG440" i="5"/>
  <c r="AI440" i="5" s="1"/>
  <c r="AG136" i="5"/>
  <c r="AH136" i="5" s="1"/>
  <c r="AG297" i="5"/>
  <c r="AI297" i="5" s="1"/>
  <c r="AG502" i="5"/>
  <c r="AH502" i="5" s="1"/>
  <c r="AG508" i="5"/>
  <c r="AH508" i="5" s="1"/>
  <c r="AG206" i="5"/>
  <c r="AH206" i="5" s="1"/>
  <c r="AG41" i="5"/>
  <c r="AH41" i="5" s="1"/>
  <c r="AG478" i="5"/>
  <c r="AH478" i="5" s="1"/>
  <c r="AG75" i="5"/>
  <c r="AH75" i="5" s="1"/>
  <c r="AG99" i="5"/>
  <c r="AH99" i="5" s="1"/>
  <c r="AG557" i="5"/>
  <c r="AI557" i="5" s="1"/>
  <c r="AG338" i="5"/>
  <c r="AI338" i="5" s="1"/>
  <c r="AG340" i="5"/>
  <c r="AI340" i="5" s="1"/>
  <c r="AG381" i="5"/>
  <c r="AH381" i="5" s="1"/>
  <c r="AG418" i="5"/>
  <c r="AI418" i="5" s="1"/>
  <c r="AG380" i="5"/>
  <c r="AI380" i="5" s="1"/>
  <c r="AG130" i="5"/>
  <c r="AI130" i="5" s="1"/>
  <c r="AG503" i="5"/>
  <c r="AH503" i="5" s="1"/>
  <c r="AG336" i="5"/>
  <c r="AH336" i="5" s="1"/>
  <c r="AG57" i="5"/>
  <c r="AI57" i="5" s="1"/>
  <c r="AG451" i="5"/>
  <c r="AI451" i="5" s="1"/>
  <c r="AG535" i="5"/>
  <c r="AI535" i="5" s="1"/>
  <c r="AG461" i="5"/>
  <c r="AI461" i="5" s="1"/>
  <c r="AG117" i="5"/>
  <c r="AH117" i="5" s="1"/>
  <c r="AG37" i="5"/>
  <c r="AH37" i="5" s="1"/>
  <c r="AG421" i="5"/>
  <c r="AI421" i="5" s="1"/>
  <c r="AG34" i="5"/>
  <c r="AH34" i="5" s="1"/>
  <c r="AG226" i="5"/>
  <c r="AH226" i="5" s="1"/>
  <c r="AG126" i="5"/>
  <c r="AH126" i="5" s="1"/>
  <c r="AG372" i="5"/>
  <c r="AI372" i="5" s="1"/>
  <c r="AG140" i="5"/>
  <c r="AH140" i="5" s="1"/>
  <c r="AG474" i="5"/>
  <c r="AI474" i="5" s="1"/>
  <c r="AG316" i="5"/>
  <c r="AI316" i="5" s="1"/>
  <c r="AG89" i="5"/>
  <c r="AI89" i="5" s="1"/>
  <c r="AG553" i="5"/>
  <c r="AH553" i="5" s="1"/>
  <c r="AG219" i="5"/>
  <c r="AH219" i="5" s="1"/>
  <c r="AG496" i="5"/>
  <c r="AH496" i="5" s="1"/>
  <c r="AG192" i="5"/>
  <c r="AH192" i="5" s="1"/>
  <c r="AG443" i="5"/>
  <c r="AI443" i="5" s="1"/>
  <c r="AG375" i="5"/>
  <c r="AI375" i="5" s="1"/>
  <c r="AG344" i="5"/>
  <c r="AI344" i="5" s="1"/>
  <c r="AG40" i="5"/>
  <c r="AH40" i="5" s="1"/>
  <c r="AG105" i="5"/>
  <c r="AI105" i="5" s="1"/>
  <c r="AG49" i="5"/>
  <c r="AH49" i="5" s="1"/>
  <c r="AG170" i="5"/>
  <c r="AH170" i="5" s="1"/>
  <c r="AG299" i="5"/>
  <c r="AI299" i="5" s="1"/>
  <c r="AG70" i="5"/>
  <c r="AI70" i="5" s="1"/>
  <c r="AG78" i="5"/>
  <c r="AH78" i="5" s="1"/>
  <c r="AG138" i="5"/>
  <c r="AI138" i="5" s="1"/>
  <c r="AG252" i="5"/>
  <c r="AH252" i="5" s="1"/>
  <c r="AG281" i="5"/>
  <c r="AI281" i="5" s="1"/>
  <c r="AG223" i="5"/>
  <c r="AI223" i="5" s="1"/>
  <c r="AG448" i="5"/>
  <c r="AI448" i="5" s="1"/>
  <c r="AG144" i="5"/>
  <c r="AH144" i="5" s="1"/>
  <c r="AG529" i="5"/>
  <c r="AI529" i="5" s="1"/>
  <c r="AG32" i="5"/>
  <c r="AI32" i="5" s="1"/>
  <c r="AG83" i="5"/>
  <c r="AH83" i="5" s="1"/>
  <c r="AG51" i="5"/>
  <c r="AH51" i="5" s="1"/>
  <c r="AG337" i="5"/>
  <c r="AH337" i="5" s="1"/>
  <c r="AG527" i="5"/>
  <c r="AH527" i="5" s="1"/>
  <c r="AG531" i="5"/>
  <c r="AH531" i="5" s="1"/>
  <c r="AG222" i="5"/>
  <c r="AI222" i="5" s="1"/>
  <c r="AG444" i="5"/>
  <c r="AH444" i="5" s="1"/>
  <c r="AG261" i="5"/>
  <c r="AH261" i="5" s="1"/>
  <c r="AG520" i="5"/>
  <c r="AH520" i="5" s="1"/>
  <c r="AG354" i="5"/>
  <c r="AH354" i="5" s="1"/>
  <c r="AG21" i="5"/>
  <c r="AH21" i="5" s="1"/>
  <c r="AG382" i="5"/>
  <c r="AH382" i="5" s="1"/>
  <c r="AG94" i="5"/>
  <c r="AI94" i="5" s="1"/>
  <c r="AG438" i="5"/>
  <c r="AI438" i="5" s="1"/>
  <c r="AG301" i="5"/>
  <c r="AI301" i="5" s="1"/>
  <c r="AG65" i="5"/>
  <c r="AH65" i="5" s="1"/>
  <c r="AG439" i="5"/>
  <c r="AH439" i="5" s="1"/>
  <c r="AG135" i="5"/>
  <c r="AH135" i="5" s="1"/>
  <c r="AG368" i="5"/>
  <c r="AH368" i="5" s="1"/>
  <c r="AG216" i="5"/>
  <c r="AI216" i="5" s="1"/>
  <c r="AG347" i="5"/>
  <c r="AI347" i="5" s="1"/>
  <c r="AG19" i="5"/>
  <c r="AH19" i="5" s="1"/>
  <c r="AG352" i="5"/>
  <c r="AI352" i="5" s="1"/>
  <c r="AG88" i="5"/>
  <c r="AH88" i="5" s="1"/>
  <c r="AG98" i="5"/>
  <c r="AI98" i="5" s="1"/>
  <c r="AG249" i="5"/>
  <c r="AH249" i="5" s="1"/>
  <c r="AG198" i="5"/>
  <c r="AI198" i="5" s="1"/>
  <c r="AG447" i="5"/>
  <c r="AI447" i="5" s="1"/>
  <c r="AG127" i="5"/>
  <c r="AH127" i="5" s="1"/>
  <c r="AG464" i="5"/>
  <c r="AI464" i="5" s="1"/>
  <c r="AG312" i="5"/>
  <c r="AH312" i="5" s="1"/>
  <c r="AG8" i="5"/>
  <c r="AH8" i="5" s="1"/>
  <c r="AG513" i="5"/>
  <c r="AH513" i="5" s="1"/>
  <c r="AG534" i="5"/>
  <c r="AH534" i="5" s="1"/>
  <c r="AG248" i="5"/>
  <c r="AH248" i="5" s="1"/>
  <c r="AG186" i="5"/>
  <c r="AH186" i="5" s="1"/>
  <c r="AG242" i="5"/>
  <c r="AI242" i="5" s="1"/>
  <c r="AG73" i="5"/>
  <c r="AH73" i="5" s="1"/>
  <c r="AG393" i="5"/>
  <c r="AI393" i="5" s="1"/>
  <c r="AG169" i="5"/>
  <c r="AI169" i="5" s="1"/>
  <c r="AG228" i="5"/>
  <c r="AI228" i="5" s="1"/>
  <c r="AG63" i="5"/>
  <c r="AH63" i="5" s="1"/>
  <c r="AG501" i="5"/>
  <c r="AI501" i="5" s="1"/>
  <c r="AG76" i="5"/>
  <c r="AI76" i="5" s="1"/>
  <c r="AG185" i="5"/>
  <c r="AI185" i="5" s="1"/>
  <c r="AG292" i="5"/>
  <c r="AI292" i="5" s="1"/>
  <c r="AG71" i="5"/>
  <c r="AG509" i="5"/>
  <c r="AH509" i="5" s="1"/>
  <c r="AG423" i="5"/>
  <c r="AI423" i="5" s="1"/>
  <c r="AG251" i="5"/>
  <c r="AH251" i="5" s="1"/>
  <c r="AG265" i="5"/>
  <c r="AH265" i="5" s="1"/>
  <c r="AG246" i="5"/>
  <c r="AI246" i="5" s="1"/>
  <c r="AG275" i="5"/>
  <c r="AH275" i="5" s="1"/>
  <c r="AG188" i="5"/>
  <c r="AH188" i="5" s="1"/>
  <c r="AG465" i="5"/>
  <c r="AH465" i="5" s="1"/>
  <c r="AG315" i="5"/>
  <c r="AI315" i="5" s="1"/>
  <c r="AG298" i="5"/>
  <c r="AI298" i="5" s="1"/>
  <c r="AG179" i="5"/>
  <c r="AI179" i="5" s="1"/>
  <c r="AG67" i="5"/>
  <c r="AH67" i="5" s="1"/>
  <c r="AG339" i="5"/>
  <c r="AI339" i="5" s="1"/>
  <c r="AG155" i="5"/>
  <c r="AI155" i="5" s="1"/>
  <c r="AG427" i="5"/>
  <c r="AH427" i="5" s="1"/>
  <c r="AG108" i="5"/>
  <c r="AH108" i="5" s="1"/>
  <c r="AG196" i="5"/>
  <c r="AH196" i="5" s="1"/>
  <c r="AG467" i="5"/>
  <c r="AI467" i="5" s="1"/>
  <c r="AG227" i="5"/>
  <c r="AH227" i="5" s="1"/>
  <c r="AG414" i="5"/>
  <c r="AI414" i="5" s="1"/>
  <c r="AG85" i="5"/>
  <c r="AG129" i="5"/>
  <c r="AH129" i="5" s="1"/>
  <c r="AG25" i="5"/>
  <c r="AI25" i="5" s="1"/>
  <c r="AG473" i="5"/>
  <c r="AI473" i="5" s="1"/>
  <c r="AG387" i="5"/>
  <c r="AI387" i="5" s="1"/>
  <c r="AG560" i="5"/>
  <c r="AH560" i="5" s="1"/>
  <c r="AG434" i="5"/>
  <c r="AH434" i="5" s="1"/>
  <c r="AG300" i="5"/>
  <c r="AI300" i="5" s="1"/>
  <c r="AG194" i="5"/>
  <c r="AI194" i="5" s="1"/>
  <c r="AG58" i="5"/>
  <c r="AI58" i="5" s="1"/>
  <c r="AG460" i="5"/>
  <c r="AI460" i="5" s="1"/>
  <c r="AG262" i="5"/>
  <c r="AH262" i="5" s="1"/>
  <c r="AG314" i="5"/>
  <c r="AH314" i="5" s="1"/>
  <c r="AG69" i="5"/>
  <c r="AH69" i="5" s="1"/>
  <c r="AG302" i="5"/>
  <c r="AI302" i="5" s="1"/>
  <c r="AG333" i="5"/>
  <c r="AH333" i="5" s="1"/>
  <c r="AG238" i="5"/>
  <c r="AH238" i="5" s="1"/>
  <c r="AG109" i="5"/>
  <c r="AH109" i="5" s="1"/>
  <c r="AG540" i="5"/>
  <c r="AH540" i="5" s="1"/>
  <c r="AG405" i="5"/>
  <c r="AI405" i="5" s="1"/>
  <c r="AG318" i="5"/>
  <c r="AI318" i="5" s="1"/>
  <c r="AG212" i="5"/>
  <c r="AI212" i="5" s="1"/>
  <c r="AG544" i="5"/>
  <c r="AH544" i="5" s="1"/>
  <c r="AG548" i="5"/>
  <c r="AH548" i="5" s="1"/>
  <c r="AG396" i="5"/>
  <c r="AI396" i="5" s="1"/>
  <c r="AG237" i="5"/>
  <c r="AI237" i="5" s="1"/>
  <c r="AG229" i="5"/>
  <c r="AH229" i="5" s="1"/>
  <c r="AG92" i="5"/>
  <c r="AI92" i="5" s="1"/>
  <c r="AG38" i="5"/>
  <c r="AH38" i="5" s="1"/>
  <c r="AG463" i="5"/>
  <c r="AI463" i="5" s="1"/>
  <c r="AG383" i="5"/>
  <c r="AH383" i="5" s="1"/>
  <c r="AG143" i="5"/>
  <c r="AH143" i="5" s="1"/>
  <c r="AG79" i="5"/>
  <c r="AH79" i="5" s="1"/>
  <c r="AG488" i="5"/>
  <c r="AI488" i="5" s="1"/>
  <c r="AG232" i="5"/>
  <c r="AI232" i="5" s="1"/>
  <c r="AG128" i="5"/>
  <c r="AI128" i="5" s="1"/>
  <c r="AG48" i="5"/>
  <c r="AI48" i="5" s="1"/>
  <c r="AG441" i="5"/>
  <c r="AI441" i="5" s="1"/>
  <c r="AG519" i="5"/>
  <c r="AI519" i="5" s="1"/>
  <c r="AG456" i="5"/>
  <c r="AI456" i="5" s="1"/>
  <c r="AG376" i="5"/>
  <c r="AI376" i="5" s="1"/>
  <c r="AG120" i="5"/>
  <c r="AH120" i="5" s="1"/>
  <c r="AG80" i="5"/>
  <c r="AH80" i="5" s="1"/>
  <c r="AG177" i="5"/>
  <c r="AI177" i="5" s="1"/>
  <c r="AG59" i="5"/>
  <c r="AI59" i="5" s="1"/>
  <c r="AG309" i="5"/>
  <c r="AI309" i="5" s="1"/>
  <c r="AG490" i="5"/>
  <c r="AI490" i="5" s="1"/>
  <c r="AG102" i="5"/>
  <c r="AH102" i="5" s="1"/>
  <c r="AG308" i="5"/>
  <c r="AH308" i="5" s="1"/>
  <c r="AG505" i="5"/>
  <c r="AI505" i="5" s="1"/>
  <c r="AG139" i="5"/>
  <c r="AH139" i="5" s="1"/>
  <c r="AG50" i="5"/>
  <c r="AH50" i="5" s="1"/>
  <c r="AG254" i="5"/>
  <c r="AH254" i="5" s="1"/>
  <c r="AG518" i="5"/>
  <c r="AG156" i="5"/>
  <c r="AH156" i="5" s="1"/>
  <c r="AG343" i="5"/>
  <c r="AH343" i="5" s="1"/>
  <c r="AG33" i="5"/>
  <c r="AI33" i="5" s="1"/>
  <c r="AG225" i="5"/>
  <c r="AI225" i="5" s="1"/>
  <c r="AG489" i="5"/>
  <c r="AH489" i="5" s="1"/>
  <c r="AG151" i="5"/>
  <c r="AI151" i="5" s="1"/>
  <c r="AG259" i="5"/>
  <c r="AH259" i="5" s="1"/>
  <c r="AG211" i="5"/>
  <c r="AI211" i="5" s="1"/>
  <c r="AG81" i="5"/>
  <c r="AH81" i="5" s="1"/>
  <c r="AG499" i="5"/>
  <c r="AH499" i="5" s="1"/>
  <c r="AG389" i="5"/>
  <c r="AI389" i="5" s="1"/>
  <c r="AG466" i="5"/>
  <c r="AI466" i="5" s="1"/>
  <c r="AG278" i="5"/>
  <c r="AH278" i="5" s="1"/>
  <c r="AG149" i="5"/>
  <c r="AH149" i="5" s="1"/>
  <c r="AG30" i="5"/>
  <c r="AH30" i="5" s="1"/>
  <c r="AG494" i="5"/>
  <c r="AI494" i="5" s="1"/>
  <c r="AG397" i="5"/>
  <c r="AI397" i="5" s="1"/>
  <c r="AG190" i="5"/>
  <c r="AH190" i="5" s="1"/>
  <c r="AG29" i="5"/>
  <c r="AI29" i="5" s="1"/>
  <c r="AG422" i="5"/>
  <c r="AI422" i="5" s="1"/>
  <c r="AG420" i="5"/>
  <c r="AH420" i="5" s="1"/>
  <c r="AG154" i="5"/>
  <c r="AH154" i="5" s="1"/>
  <c r="AG77" i="5"/>
  <c r="AH77" i="5" s="1"/>
  <c r="AG477" i="5"/>
  <c r="AI477" i="5" s="1"/>
  <c r="AG326" i="5"/>
  <c r="AI326" i="5" s="1"/>
  <c r="AG244" i="5"/>
  <c r="AH244" i="5" s="1"/>
  <c r="AG158" i="5"/>
  <c r="AH158" i="5" s="1"/>
  <c r="AG523" i="5"/>
  <c r="AI523" i="5" s="1"/>
  <c r="AG516" i="5"/>
  <c r="AI516" i="5" s="1"/>
  <c r="AG436" i="5"/>
  <c r="AH436" i="5" s="1"/>
  <c r="AG286" i="5"/>
  <c r="AH286" i="5" s="1"/>
  <c r="AG218" i="5"/>
  <c r="AI218" i="5" s="1"/>
  <c r="AG121" i="5"/>
  <c r="AH121" i="5" s="1"/>
  <c r="AG545" i="5"/>
  <c r="AI545" i="5" s="1"/>
  <c r="AG495" i="5"/>
  <c r="AG239" i="5"/>
  <c r="AI239" i="5" s="1"/>
  <c r="AG175" i="5"/>
  <c r="AI175" i="5" s="1"/>
  <c r="AG103" i="5"/>
  <c r="AI103" i="5" s="1"/>
  <c r="AG512" i="5"/>
  <c r="AH512" i="5" s="1"/>
  <c r="AG256" i="5"/>
  <c r="AI256" i="5" s="1"/>
  <c r="AG160" i="5"/>
  <c r="AH160" i="5" s="1"/>
  <c r="AG64" i="5"/>
  <c r="AH64" i="5" s="1"/>
  <c r="AG353" i="5"/>
  <c r="AI353" i="5" s="1"/>
  <c r="AG459" i="5"/>
  <c r="AI459" i="5" s="1"/>
  <c r="AG36" i="5"/>
  <c r="AH36" i="5" s="1"/>
  <c r="AG538" i="5"/>
  <c r="AI538" i="5" s="1"/>
  <c r="AG480" i="5"/>
  <c r="AI480" i="5" s="1"/>
  <c r="AG408" i="5"/>
  <c r="AH408" i="5" s="1"/>
  <c r="AG152" i="5"/>
  <c r="AH152" i="5" s="1"/>
  <c r="AG193" i="5"/>
  <c r="AI193" i="5" s="1"/>
  <c r="AG145" i="5"/>
  <c r="AI145" i="5" s="1"/>
  <c r="AG303" i="5"/>
  <c r="AI303" i="5" s="1"/>
  <c r="AG482" i="5"/>
  <c r="AI482" i="5" s="1"/>
  <c r="AG123" i="5"/>
  <c r="AH123" i="5" s="1"/>
  <c r="AG366" i="5"/>
  <c r="AI366" i="5" s="1"/>
  <c r="AG395" i="5"/>
  <c r="AI395" i="5" s="1"/>
  <c r="AG195" i="5"/>
  <c r="AH195" i="5" s="1"/>
  <c r="AG107" i="5"/>
  <c r="AH107" i="5" s="1"/>
  <c r="AG311" i="5"/>
  <c r="AI311" i="5" s="1"/>
  <c r="AG539" i="5"/>
  <c r="AH539" i="5" s="1"/>
  <c r="AG111" i="5"/>
  <c r="AI111" i="5" s="1"/>
  <c r="AG362" i="5"/>
  <c r="AH362" i="5" s="1"/>
  <c r="AG86" i="5"/>
  <c r="AI86" i="5" s="1"/>
  <c r="AG266" i="5"/>
  <c r="AI266" i="5" s="1"/>
  <c r="AG471" i="5"/>
  <c r="AH471" i="5" s="1"/>
  <c r="AG291" i="5"/>
  <c r="AH291" i="5" s="1"/>
  <c r="AG257" i="5"/>
  <c r="AI257" i="5" s="1"/>
  <c r="AG97" i="5"/>
  <c r="AI97" i="5" s="1"/>
  <c r="AG497" i="5"/>
  <c r="AH497" i="5" s="1"/>
  <c r="AG552" i="5"/>
  <c r="AH552" i="5" s="1"/>
  <c r="AG404" i="5"/>
  <c r="AH404" i="5" s="1"/>
  <c r="AG260" i="5"/>
  <c r="AI260" i="5" s="1"/>
  <c r="AG178" i="5"/>
  <c r="AI178" i="5" s="1"/>
  <c r="AG558" i="5"/>
  <c r="AI558" i="5" s="1"/>
  <c r="AG412" i="5"/>
  <c r="AI412" i="5" s="1"/>
  <c r="AG341" i="5"/>
  <c r="AI341" i="5" s="1"/>
  <c r="AG182" i="5"/>
  <c r="AI182" i="5" s="1"/>
  <c r="AG556" i="5"/>
  <c r="AH556" i="5" s="1"/>
  <c r="AG522" i="5"/>
  <c r="AI522" i="5" s="1"/>
  <c r="AG394" i="5"/>
  <c r="AI394" i="5" s="1"/>
  <c r="AG189" i="5"/>
  <c r="AH189" i="5" s="1"/>
  <c r="AG22" i="5"/>
  <c r="AH22" i="5" s="1"/>
  <c r="AG452" i="5"/>
  <c r="AI452" i="5" s="1"/>
  <c r="AG437" i="5"/>
  <c r="AH437" i="5" s="1"/>
  <c r="AG258" i="5"/>
  <c r="AI258" i="5" s="1"/>
  <c r="AG134" i="5"/>
  <c r="AI134" i="5" s="1"/>
  <c r="AG426" i="5"/>
  <c r="AI426" i="5" s="1"/>
  <c r="AG370" i="5"/>
  <c r="AI370" i="5" s="1"/>
  <c r="AG378" i="5"/>
  <c r="AH378" i="5" s="1"/>
  <c r="AG250" i="5"/>
  <c r="AH250" i="5" s="1"/>
  <c r="AG133" i="5"/>
  <c r="AI133" i="5" s="1"/>
  <c r="AG93" i="5"/>
  <c r="AH93" i="5" s="1"/>
  <c r="AG525" i="5"/>
  <c r="AI525" i="5" s="1"/>
  <c r="AG419" i="5"/>
  <c r="AI419" i="5" s="1"/>
  <c r="AG255" i="5"/>
  <c r="AI255" i="5" s="1"/>
  <c r="AG199" i="5"/>
  <c r="AI199" i="5" s="1"/>
  <c r="AH322" i="5"/>
  <c r="AG328" i="5"/>
  <c r="AH328" i="5" s="1"/>
  <c r="AG264" i="5"/>
  <c r="AH264" i="5" s="1"/>
  <c r="AG176" i="5"/>
  <c r="AH176" i="5" s="1"/>
  <c r="AG72" i="5"/>
  <c r="AI72" i="5" s="1"/>
  <c r="AG361" i="5"/>
  <c r="AI361" i="5" s="1"/>
  <c r="AG483" i="5"/>
  <c r="AI483" i="5" s="1"/>
  <c r="AG44" i="5"/>
  <c r="AI44" i="5" s="1"/>
  <c r="AG546" i="5"/>
  <c r="AI546" i="5" s="1"/>
  <c r="AG504" i="5"/>
  <c r="AI504" i="5" s="1"/>
  <c r="AG416" i="5"/>
  <c r="AI416" i="5" s="1"/>
  <c r="AG168" i="5"/>
  <c r="AH168" i="5" s="1"/>
  <c r="AG201" i="5"/>
  <c r="AI201" i="5" s="1"/>
  <c r="AG84" i="5"/>
  <c r="AH84" i="5" s="1"/>
  <c r="AG310" i="5"/>
  <c r="AI310" i="5" s="1"/>
  <c r="AG358" i="5"/>
  <c r="AI358" i="5" s="1"/>
  <c r="AG163" i="5"/>
  <c r="AH163" i="5" s="1"/>
  <c r="AG268" i="5"/>
  <c r="AI268" i="5" s="1"/>
  <c r="AG235" i="5"/>
  <c r="AI235" i="5" s="1"/>
  <c r="AG27" i="5"/>
  <c r="AH27" i="5" s="1"/>
  <c r="AG124" i="5"/>
  <c r="AH124" i="5" s="1"/>
  <c r="AG323" i="5"/>
  <c r="AI323" i="5" s="1"/>
  <c r="AG413" i="5"/>
  <c r="AH413" i="5" s="1"/>
  <c r="AG215" i="5"/>
  <c r="AI215" i="5" s="1"/>
  <c r="AG373" i="5"/>
  <c r="AI373" i="5" s="1"/>
  <c r="AG114" i="5"/>
  <c r="AI114" i="5" s="1"/>
  <c r="AG253" i="5"/>
  <c r="AI253" i="5" s="1"/>
  <c r="AG479" i="5"/>
  <c r="AG187" i="5"/>
  <c r="AH187" i="5" s="1"/>
  <c r="AG203" i="5"/>
  <c r="AH203" i="5" s="1"/>
  <c r="AG514" i="5"/>
  <c r="AI514" i="5" s="1"/>
  <c r="AG171" i="5"/>
  <c r="AI171" i="5" s="1"/>
  <c r="AG401" i="5"/>
  <c r="AH401" i="5" s="1"/>
  <c r="AG60" i="5"/>
  <c r="AH60" i="5" s="1"/>
  <c r="AG277" i="5"/>
  <c r="AI277" i="5" s="1"/>
  <c r="AG475" i="5"/>
  <c r="AG91" i="5"/>
  <c r="AI91" i="5" s="1"/>
  <c r="AG379" i="5"/>
  <c r="AH379" i="5" s="1"/>
  <c r="AG283" i="5"/>
  <c r="AH283" i="5" s="1"/>
  <c r="AG113" i="5"/>
  <c r="AI113" i="5" s="1"/>
  <c r="AG363" i="5"/>
  <c r="AH363" i="5" s="1"/>
  <c r="AG476" i="5"/>
  <c r="AI476" i="5" s="1"/>
  <c r="AG202" i="5"/>
  <c r="AH202" i="5" s="1"/>
  <c r="AG214" i="5"/>
  <c r="AH214" i="5" s="1"/>
  <c r="AG146" i="5"/>
  <c r="AH146" i="5" s="1"/>
  <c r="AG454" i="5"/>
  <c r="AI454" i="5" s="1"/>
  <c r="AG402" i="5"/>
  <c r="AH402" i="5" s="1"/>
  <c r="AG356" i="5"/>
  <c r="AI356" i="5" s="1"/>
  <c r="AG118" i="5"/>
  <c r="AI118" i="5" s="1"/>
  <c r="AG365" i="5"/>
  <c r="AH365" i="5" s="1"/>
  <c r="AG493" i="5"/>
  <c r="AH493" i="5" s="1"/>
  <c r="AG330" i="5"/>
  <c r="AH330" i="5" s="1"/>
  <c r="AG157" i="5"/>
  <c r="AI157" i="5" s="1"/>
  <c r="AG20" i="5"/>
  <c r="AH20" i="5" s="1"/>
  <c r="AG517" i="5"/>
  <c r="AI517" i="5" s="1"/>
  <c r="AG406" i="5"/>
  <c r="AI406" i="5" s="1"/>
  <c r="AG332" i="5"/>
  <c r="AH332" i="5" s="1"/>
  <c r="AG101" i="5"/>
  <c r="AI101" i="5" s="1"/>
  <c r="AG536" i="5"/>
  <c r="AH536" i="5" s="1"/>
  <c r="AG510" i="5"/>
  <c r="AI510" i="5" s="1"/>
  <c r="AG284" i="5"/>
  <c r="AI284" i="5" s="1"/>
  <c r="AG324" i="5"/>
  <c r="AI324" i="5" s="1"/>
  <c r="AG165" i="5"/>
  <c r="AI165" i="5" s="1"/>
  <c r="AG66" i="5"/>
  <c r="AI66" i="5" s="1"/>
  <c r="AG533" i="5"/>
  <c r="AI533" i="5" s="1"/>
  <c r="AG327" i="5"/>
  <c r="AI327" i="5" s="1"/>
  <c r="AG287" i="5"/>
  <c r="AH287" i="5" s="1"/>
  <c r="AG23" i="5"/>
  <c r="AI23" i="5" s="1"/>
  <c r="AG360" i="5"/>
  <c r="AH360" i="5" s="1"/>
  <c r="AG280" i="5"/>
  <c r="AH280" i="5" s="1"/>
  <c r="AG184" i="5"/>
  <c r="AH184" i="5" s="1"/>
  <c r="AG96" i="5"/>
  <c r="AI96" i="5" s="1"/>
  <c r="AG377" i="5"/>
  <c r="AI377" i="5" s="1"/>
  <c r="AG507" i="5"/>
  <c r="AH507" i="5" s="1"/>
  <c r="AG526" i="5"/>
  <c r="AI526" i="5" s="1"/>
  <c r="AG320" i="5"/>
  <c r="AH320" i="5" s="1"/>
  <c r="AG224" i="5"/>
  <c r="AG200" i="5"/>
  <c r="AI200" i="5" s="1"/>
  <c r="AG209" i="5"/>
  <c r="AI209" i="5" s="1"/>
  <c r="AG161" i="5"/>
  <c r="AH161" i="5" s="1"/>
  <c r="AG180" i="5"/>
  <c r="AH180" i="5" s="1"/>
  <c r="AG500" i="5"/>
  <c r="AI500" i="5" s="1"/>
  <c r="AG197" i="5"/>
  <c r="AI197" i="5" s="1"/>
  <c r="AG317" i="5"/>
  <c r="AI317" i="5" s="1"/>
  <c r="AG243" i="5"/>
  <c r="AI243" i="5" s="1"/>
  <c r="AG35" i="5"/>
  <c r="AH35" i="5" s="1"/>
  <c r="AG147" i="5"/>
  <c r="AI147" i="5" s="1"/>
  <c r="AG374" i="5"/>
  <c r="AI374" i="5" s="1"/>
  <c r="AG116" i="5"/>
  <c r="AI116" i="5" s="1"/>
  <c r="AG213" i="5"/>
  <c r="AI213" i="5" s="1"/>
  <c r="AG357" i="5"/>
  <c r="AI357" i="5" s="1"/>
  <c r="AG106" i="5"/>
  <c r="AH106" i="5" s="1"/>
  <c r="AG349" i="5"/>
  <c r="AH349" i="5" s="1"/>
  <c r="AG532" i="5"/>
  <c r="AH532" i="5" s="1"/>
  <c r="AG415" i="5"/>
  <c r="AH415" i="5" s="1"/>
  <c r="AG367" i="5"/>
  <c r="AI367" i="5" s="1"/>
  <c r="AG515" i="5"/>
  <c r="AI515" i="5" s="1"/>
  <c r="AG445" i="5"/>
  <c r="AI445" i="5" s="1"/>
  <c r="AG469" i="5"/>
  <c r="AI469" i="5" s="1"/>
  <c r="AG385" i="5"/>
  <c r="AH385" i="5" s="1"/>
  <c r="AG453" i="5"/>
  <c r="AH453" i="5" s="1"/>
  <c r="AG559" i="5"/>
  <c r="AI559" i="5" s="1"/>
  <c r="AG511" i="5"/>
  <c r="AM459" i="5"/>
  <c r="AN459" i="5" s="1"/>
  <c r="AM285" i="5"/>
  <c r="AO285" i="5" s="1"/>
  <c r="AG484" i="5"/>
  <c r="AH484" i="5" s="1"/>
  <c r="AM189" i="5"/>
  <c r="AO189" i="5" s="1"/>
  <c r="AG62" i="5"/>
  <c r="AH62" i="5" s="1"/>
  <c r="AG90" i="5"/>
  <c r="AH90" i="5" s="1"/>
  <c r="AG122" i="5"/>
  <c r="AI122" i="5" s="1"/>
  <c r="AG46" i="5"/>
  <c r="AI46" i="5" s="1"/>
  <c r="AG115" i="5"/>
  <c r="AI115" i="5" s="1"/>
  <c r="AG183" i="5"/>
  <c r="AI183" i="5" s="1"/>
  <c r="AG247" i="5"/>
  <c r="AG293" i="5"/>
  <c r="AG167" i="5"/>
  <c r="AH167" i="5" s="1"/>
  <c r="AG230" i="5"/>
  <c r="AI230" i="5" s="1"/>
  <c r="AG279" i="5"/>
  <c r="AH279" i="5" s="1"/>
  <c r="AG269" i="5"/>
  <c r="AH269" i="5" s="1"/>
  <c r="AG174" i="5"/>
  <c r="AI174" i="5" s="1"/>
  <c r="AG429" i="5"/>
  <c r="AI429" i="5" s="1"/>
  <c r="AG391" i="5"/>
  <c r="AI391" i="5" s="1"/>
  <c r="AG100" i="5"/>
  <c r="AG550" i="5"/>
  <c r="AH550" i="5" s="1"/>
  <c r="AG435" i="5"/>
  <c r="AI435" i="5" s="1"/>
  <c r="AG411" i="5"/>
  <c r="AI411" i="5" s="1"/>
  <c r="AM41" i="5"/>
  <c r="AO41" i="5" s="1"/>
  <c r="AM370" i="5"/>
  <c r="AO370" i="5" s="1"/>
  <c r="AM69" i="5"/>
  <c r="AO69" i="5" s="1"/>
  <c r="AM486" i="5"/>
  <c r="AO486" i="5" s="1"/>
  <c r="AM365" i="5"/>
  <c r="AN365" i="5" s="1"/>
  <c r="AM436" i="5"/>
  <c r="AN436" i="5" s="1"/>
  <c r="AM133" i="5"/>
  <c r="AN133" i="5" s="1"/>
  <c r="AM476" i="5"/>
  <c r="AO476" i="5" s="1"/>
  <c r="AM348" i="5"/>
  <c r="AO348" i="5" s="1"/>
  <c r="AM253" i="5"/>
  <c r="AN253" i="5" s="1"/>
  <c r="AM115" i="5"/>
  <c r="AO115" i="5" s="1"/>
  <c r="AM93" i="5"/>
  <c r="AO93" i="5" s="1"/>
  <c r="AM530" i="5"/>
  <c r="AO530" i="5" s="1"/>
  <c r="AM332" i="5"/>
  <c r="AO332" i="5" s="1"/>
  <c r="AM251" i="5"/>
  <c r="AO251" i="5" s="1"/>
  <c r="AG481" i="5"/>
  <c r="AG468" i="5"/>
  <c r="AH468" i="5" s="1"/>
  <c r="AM519" i="5"/>
  <c r="AO519" i="5" s="1"/>
  <c r="AM449" i="5"/>
  <c r="AO449" i="5" s="1"/>
  <c r="AM445" i="5"/>
  <c r="AO445" i="5" s="1"/>
  <c r="AG204" i="5"/>
  <c r="AH204" i="5" s="1"/>
  <c r="AM482" i="5"/>
  <c r="AO482" i="5" s="1"/>
  <c r="AM508" i="5"/>
  <c r="AN508" i="5" s="1"/>
  <c r="AM234" i="5"/>
  <c r="AN234" i="5" s="1"/>
  <c r="AM395" i="5"/>
  <c r="AN395" i="5" s="1"/>
  <c r="AM540" i="5"/>
  <c r="AN540" i="5" s="1"/>
  <c r="AM105" i="5"/>
  <c r="AO105" i="5" s="1"/>
  <c r="AM525" i="5"/>
  <c r="AO525" i="5" s="1"/>
  <c r="AM135" i="5"/>
  <c r="AO135" i="5" s="1"/>
  <c r="AM362" i="5"/>
  <c r="AN362" i="5" s="1"/>
  <c r="AM66" i="5"/>
  <c r="AN66" i="5" s="1"/>
  <c r="AM235" i="5"/>
  <c r="AO235" i="5" s="1"/>
  <c r="AM498" i="5"/>
  <c r="AO498" i="5" s="1"/>
  <c r="AM258" i="5"/>
  <c r="AO258" i="5" s="1"/>
  <c r="AG442" i="5"/>
  <c r="AG555" i="5"/>
  <c r="AH555" i="5" s="1"/>
  <c r="AG537" i="5"/>
  <c r="AH537" i="5" s="1"/>
  <c r="AG68" i="5"/>
  <c r="AG39" i="5"/>
  <c r="AH39" i="5" s="1"/>
  <c r="AG74" i="5"/>
  <c r="AG132" i="5"/>
  <c r="AG137" i="5"/>
  <c r="AH137" i="5" s="1"/>
  <c r="AG125" i="5"/>
  <c r="AG172" i="5"/>
  <c r="AH172" i="5" s="1"/>
  <c r="AG236" i="5"/>
  <c r="AI236" i="5" s="1"/>
  <c r="AG207" i="5"/>
  <c r="AG295" i="5"/>
  <c r="AG282" i="5"/>
  <c r="AG271" i="5"/>
  <c r="AJ283" i="5"/>
  <c r="AK283" i="5" s="1"/>
  <c r="AJ521" i="5"/>
  <c r="AK521" i="5" s="1"/>
  <c r="AJ187" i="5"/>
  <c r="AK187" i="5" s="1"/>
  <c r="T75" i="5"/>
  <c r="T31" i="5"/>
  <c r="T65" i="5"/>
  <c r="T308" i="5"/>
  <c r="AJ307" i="5"/>
  <c r="AL307" i="5" s="1"/>
  <c r="T73" i="5"/>
  <c r="AM549" i="5"/>
  <c r="AO549" i="5" s="1"/>
  <c r="AM409" i="5"/>
  <c r="AO409" i="5" s="1"/>
  <c r="AM113" i="5"/>
  <c r="AO113" i="5" s="1"/>
  <c r="AM347" i="5"/>
  <c r="AO347" i="5" s="1"/>
  <c r="AM500" i="5"/>
  <c r="AN500" i="5" s="1"/>
  <c r="AM485" i="5"/>
  <c r="AO485" i="5" s="1"/>
  <c r="AM334" i="5"/>
  <c r="AN334" i="5" s="1"/>
  <c r="AM238" i="5"/>
  <c r="AN238" i="5" s="1"/>
  <c r="AM29" i="5"/>
  <c r="AN29" i="5" s="1"/>
  <c r="AM426" i="5"/>
  <c r="AO426" i="5" s="1"/>
  <c r="AM322" i="5"/>
  <c r="AN322" i="5" s="1"/>
  <c r="AM53" i="5"/>
  <c r="AO53" i="5" s="1"/>
  <c r="AM454" i="5"/>
  <c r="AO454" i="5" s="1"/>
  <c r="AM286" i="5"/>
  <c r="AO286" i="5" s="1"/>
  <c r="AM186" i="5"/>
  <c r="AN186" i="5" s="1"/>
  <c r="AM62" i="5"/>
  <c r="AO62" i="5" s="1"/>
  <c r="AM493" i="5"/>
  <c r="AO493" i="5" s="1"/>
  <c r="AM222" i="5"/>
  <c r="AO222" i="5" s="1"/>
  <c r="AM492" i="5"/>
  <c r="AO492" i="5" s="1"/>
  <c r="AM326" i="5"/>
  <c r="AN326" i="5" s="1"/>
  <c r="AM68" i="5"/>
  <c r="AN68" i="5" s="1"/>
  <c r="AM487" i="5"/>
  <c r="AO487" i="5" s="1"/>
  <c r="AM496" i="5"/>
  <c r="AO496" i="5" s="1"/>
  <c r="AM263" i="5"/>
  <c r="AN263" i="5" s="1"/>
  <c r="AM554" i="5"/>
  <c r="AO554" i="5" s="1"/>
  <c r="AM243" i="5"/>
  <c r="AO243" i="5" s="1"/>
  <c r="AM388" i="5"/>
  <c r="AO388" i="5" s="1"/>
  <c r="AM520" i="5"/>
  <c r="AN520" i="5" s="1"/>
  <c r="AM346" i="5"/>
  <c r="AN346" i="5" s="1"/>
  <c r="AM173" i="5"/>
  <c r="AO173" i="5" s="1"/>
  <c r="AM550" i="5"/>
  <c r="AN550" i="5" s="1"/>
  <c r="AM458" i="5"/>
  <c r="AO458" i="5" s="1"/>
  <c r="AM298" i="5"/>
  <c r="AN298" i="5" s="1"/>
  <c r="AM38" i="5"/>
  <c r="AN38" i="5" s="1"/>
  <c r="AM484" i="5"/>
  <c r="AO484" i="5" s="1"/>
  <c r="AM389" i="5"/>
  <c r="AN389" i="5" s="1"/>
  <c r="AM204" i="5"/>
  <c r="AN204" i="5" s="1"/>
  <c r="AM28" i="5"/>
  <c r="AN28" i="5" s="1"/>
  <c r="AM397" i="5"/>
  <c r="AO397" i="5" s="1"/>
  <c r="AM141" i="5"/>
  <c r="AO141" i="5" s="1"/>
  <c r="AM394" i="5"/>
  <c r="AN394" i="5" s="1"/>
  <c r="AM161" i="5"/>
  <c r="AO161" i="5" s="1"/>
  <c r="AM431" i="5"/>
  <c r="AN431" i="5" s="1"/>
  <c r="AM495" i="5"/>
  <c r="AO495" i="5" s="1"/>
  <c r="AM359" i="5"/>
  <c r="AN359" i="5" s="1"/>
  <c r="AM546" i="5"/>
  <c r="AO546" i="5" s="1"/>
  <c r="AM24" i="5"/>
  <c r="AN24" i="5" s="1"/>
  <c r="AM457" i="5"/>
  <c r="AO457" i="5" s="1"/>
  <c r="AM129" i="5"/>
  <c r="AO129" i="5" s="1"/>
  <c r="AM211" i="5"/>
  <c r="AO211" i="5" s="1"/>
  <c r="AM410" i="5"/>
  <c r="AN410" i="5" s="1"/>
  <c r="AM270" i="5"/>
  <c r="AO270" i="5" s="1"/>
  <c r="AM430" i="5"/>
  <c r="AN430" i="5" s="1"/>
  <c r="AM58" i="5"/>
  <c r="AN58" i="5" s="1"/>
  <c r="AM198" i="5"/>
  <c r="AO198" i="5" s="1"/>
  <c r="AM31" i="5"/>
  <c r="AN31" i="5" s="1"/>
  <c r="AM72" i="5"/>
  <c r="AO72" i="5" s="1"/>
  <c r="AM289" i="5"/>
  <c r="AO289" i="5" s="1"/>
  <c r="AM155" i="5"/>
  <c r="AO155" i="5" s="1"/>
  <c r="AM83" i="5"/>
  <c r="AN83" i="5" s="1"/>
  <c r="AM299" i="5"/>
  <c r="AN299" i="5" s="1"/>
  <c r="AM396" i="5"/>
  <c r="AO396" i="5" s="1"/>
  <c r="AM434" i="5"/>
  <c r="AO434" i="5" s="1"/>
  <c r="AM306" i="5"/>
  <c r="AN306" i="5" s="1"/>
  <c r="AM122" i="5"/>
  <c r="AN122" i="5" s="1"/>
  <c r="AM437" i="5"/>
  <c r="AO437" i="5" s="1"/>
  <c r="AM354" i="5"/>
  <c r="AO354" i="5" s="1"/>
  <c r="AM282" i="5"/>
  <c r="AN282" i="5" s="1"/>
  <c r="AM26" i="5"/>
  <c r="AN26" i="5" s="1"/>
  <c r="AM462" i="5"/>
  <c r="AO462" i="5" s="1"/>
  <c r="AM293" i="5"/>
  <c r="AO293" i="5" s="1"/>
  <c r="AM205" i="5"/>
  <c r="AN205" i="5" s="1"/>
  <c r="AM42" i="5"/>
  <c r="AO42" i="5" s="1"/>
  <c r="AM374" i="5"/>
  <c r="AN374" i="5" s="1"/>
  <c r="AM149" i="5"/>
  <c r="AN149" i="5" s="1"/>
  <c r="AM422" i="5"/>
  <c r="AN422" i="5" s="1"/>
  <c r="AM194" i="5"/>
  <c r="AO194" i="5" s="1"/>
  <c r="AM311" i="5"/>
  <c r="AO311" i="5" s="1"/>
  <c r="AM175" i="5"/>
  <c r="AN175" i="5" s="1"/>
  <c r="AM32" i="5"/>
  <c r="AN32" i="5" s="1"/>
  <c r="AM465" i="5"/>
  <c r="AN465" i="5" s="1"/>
  <c r="AM145" i="5"/>
  <c r="AN145" i="5" s="1"/>
  <c r="AM324" i="5"/>
  <c r="AN324" i="5" s="1"/>
  <c r="AM556" i="5"/>
  <c r="AN556" i="5" s="1"/>
  <c r="AM438" i="5"/>
  <c r="AO438" i="5" s="1"/>
  <c r="AM61" i="5"/>
  <c r="AO61" i="5" s="1"/>
  <c r="AM418" i="5"/>
  <c r="AO418" i="5" s="1"/>
  <c r="AM514" i="5"/>
  <c r="AO514" i="5" s="1"/>
  <c r="AM157" i="5"/>
  <c r="AO157" i="5" s="1"/>
  <c r="AM423" i="5"/>
  <c r="AN423" i="5" s="1"/>
  <c r="AM128" i="5"/>
  <c r="AN128" i="5" s="1"/>
  <c r="AM225" i="5"/>
  <c r="AN225" i="5" s="1"/>
  <c r="AM369" i="5"/>
  <c r="AO369" i="5" s="1"/>
  <c r="AM450" i="5"/>
  <c r="AN450" i="5" s="1"/>
  <c r="AM506" i="5"/>
  <c r="AO506" i="5" s="1"/>
  <c r="AM262" i="5"/>
  <c r="AN262" i="5" s="1"/>
  <c r="AM109" i="5"/>
  <c r="AN109" i="5" s="1"/>
  <c r="AM536" i="5"/>
  <c r="AO536" i="5" s="1"/>
  <c r="AM349" i="5"/>
  <c r="AO349" i="5" s="1"/>
  <c r="AM261" i="5"/>
  <c r="AN261" i="5" s="1"/>
  <c r="AM372" i="5"/>
  <c r="AN372" i="5" s="1"/>
  <c r="AM412" i="5"/>
  <c r="AO412" i="5" s="1"/>
  <c r="AM404" i="5"/>
  <c r="AO404" i="5" s="1"/>
  <c r="AM162" i="5"/>
  <c r="AN162" i="5" s="1"/>
  <c r="AM552" i="5"/>
  <c r="AO552" i="5" s="1"/>
  <c r="AM413" i="5"/>
  <c r="AN413" i="5" s="1"/>
  <c r="AM85" i="5"/>
  <c r="AN85" i="5" s="1"/>
  <c r="AM340" i="5"/>
  <c r="AN340" i="5" s="1"/>
  <c r="AM197" i="5"/>
  <c r="AN197" i="5" s="1"/>
  <c r="AM447" i="5"/>
  <c r="AN447" i="5" s="1"/>
  <c r="AM383" i="5"/>
  <c r="AN383" i="5" s="1"/>
  <c r="AM360" i="5"/>
  <c r="AN360" i="5" s="1"/>
  <c r="AM48" i="5"/>
  <c r="AO48" i="5" s="1"/>
  <c r="AM435" i="5"/>
  <c r="AO435" i="5" s="1"/>
  <c r="AM130" i="5"/>
  <c r="AO130" i="5" s="1"/>
  <c r="AM302" i="5"/>
  <c r="AN302" i="5" s="1"/>
  <c r="AM228" i="5"/>
  <c r="AN228" i="5" s="1"/>
  <c r="AM444" i="5"/>
  <c r="AO444" i="5" s="1"/>
  <c r="AM136" i="5"/>
  <c r="AO136" i="5" s="1"/>
  <c r="AM185" i="5"/>
  <c r="AN185" i="5" s="1"/>
  <c r="AM131" i="5"/>
  <c r="AO131" i="5" s="1"/>
  <c r="AM195" i="5"/>
  <c r="AO195" i="5" s="1"/>
  <c r="AM281" i="5"/>
  <c r="AO281" i="5" s="1"/>
  <c r="AM169" i="5"/>
  <c r="AO169" i="5" s="1"/>
  <c r="AJ539" i="5"/>
  <c r="AK539" i="5" s="1"/>
  <c r="AM209" i="5"/>
  <c r="AN209" i="5" s="1"/>
  <c r="AM551" i="5"/>
  <c r="AN551" i="5" s="1"/>
  <c r="AM325" i="5"/>
  <c r="AN325" i="5" s="1"/>
  <c r="AM318" i="5"/>
  <c r="AO318" i="5" s="1"/>
  <c r="AM98" i="5"/>
  <c r="AO98" i="5" s="1"/>
  <c r="AM518" i="5"/>
  <c r="AN518" i="5" s="1"/>
  <c r="AM390" i="5"/>
  <c r="AN390" i="5" s="1"/>
  <c r="AM210" i="5"/>
  <c r="AN210" i="5" s="1"/>
  <c r="AM528" i="5"/>
  <c r="AN528" i="5" s="1"/>
  <c r="AM532" i="5"/>
  <c r="AN532" i="5" s="1"/>
  <c r="AM301" i="5"/>
  <c r="AN301" i="5" s="1"/>
  <c r="AM142" i="5"/>
  <c r="AO142" i="5" s="1"/>
  <c r="AM543" i="5"/>
  <c r="AN543" i="5" s="1"/>
  <c r="AM338" i="5"/>
  <c r="AO338" i="5" s="1"/>
  <c r="AM82" i="5"/>
  <c r="AO82" i="5" s="1"/>
  <c r="AM356" i="5"/>
  <c r="AO356" i="5" s="1"/>
  <c r="AM116" i="5"/>
  <c r="AN116" i="5" s="1"/>
  <c r="AM87" i="5"/>
  <c r="AN87" i="5" s="1"/>
  <c r="AM176" i="5"/>
  <c r="AO176" i="5" s="1"/>
  <c r="AM118" i="5"/>
  <c r="AN118" i="5" s="1"/>
  <c r="AM510" i="5"/>
  <c r="AO510" i="5" s="1"/>
  <c r="AM490" i="5"/>
  <c r="AN490" i="5" s="1"/>
  <c r="AM294" i="5"/>
  <c r="AO294" i="5" s="1"/>
  <c r="AM106" i="5"/>
  <c r="AN106" i="5" s="1"/>
  <c r="AM560" i="5"/>
  <c r="AO560" i="5" s="1"/>
  <c r="AM206" i="5"/>
  <c r="AN206" i="5" s="1"/>
  <c r="AM481" i="5"/>
  <c r="AO481" i="5" s="1"/>
  <c r="AM358" i="5"/>
  <c r="AO358" i="5" s="1"/>
  <c r="AM110" i="5"/>
  <c r="AN110" i="5" s="1"/>
  <c r="AM223" i="5"/>
  <c r="AO223" i="5" s="1"/>
  <c r="AM127" i="5"/>
  <c r="AN127" i="5" s="1"/>
  <c r="AM267" i="5"/>
  <c r="AO267" i="5" s="1"/>
  <c r="AM421" i="5"/>
  <c r="AO421" i="5" s="1"/>
  <c r="AM341" i="5"/>
  <c r="AO341" i="5" s="1"/>
  <c r="AM174" i="5"/>
  <c r="AN174" i="5" s="1"/>
  <c r="AM45" i="5"/>
  <c r="AN45" i="5" s="1"/>
  <c r="AM474" i="5"/>
  <c r="AO474" i="5" s="1"/>
  <c r="AM252" i="5"/>
  <c r="AN252" i="5" s="1"/>
  <c r="AM274" i="5"/>
  <c r="AN274" i="5" s="1"/>
  <c r="AM132" i="5"/>
  <c r="AN132" i="5" s="1"/>
  <c r="AM79" i="5"/>
  <c r="AN79" i="5" s="1"/>
  <c r="AM533" i="5"/>
  <c r="AN533" i="5" s="1"/>
  <c r="AM455" i="5"/>
  <c r="AN455" i="5" s="1"/>
  <c r="AM367" i="5"/>
  <c r="AN367" i="5" s="1"/>
  <c r="AM239" i="5"/>
  <c r="AN239" i="5" s="1"/>
  <c r="AM219" i="5"/>
  <c r="AN219" i="5" s="1"/>
  <c r="T167" i="5"/>
  <c r="U167" i="5" s="1"/>
  <c r="AM71" i="5"/>
  <c r="AN71" i="5" s="1"/>
  <c r="T153" i="5"/>
  <c r="T122" i="5"/>
  <c r="AM328" i="5"/>
  <c r="AO328" i="5" s="1"/>
  <c r="AM224" i="5"/>
  <c r="AN224" i="5" s="1"/>
  <c r="AM56" i="5"/>
  <c r="AN56" i="5" s="1"/>
  <c r="AM385" i="5"/>
  <c r="AO385" i="5" s="1"/>
  <c r="AM331" i="5"/>
  <c r="AM260" i="5"/>
  <c r="AN260" i="5" s="1"/>
  <c r="AM415" i="5"/>
  <c r="AM547" i="5"/>
  <c r="AN547" i="5" s="1"/>
  <c r="AM446" i="5"/>
  <c r="AO446" i="5" s="1"/>
  <c r="AM420" i="5"/>
  <c r="AO420" i="5" s="1"/>
  <c r="AM220" i="5"/>
  <c r="AO220" i="5" s="1"/>
  <c r="AM81" i="5"/>
  <c r="AO81" i="5" s="1"/>
  <c r="AM463" i="5"/>
  <c r="AO463" i="5" s="1"/>
  <c r="AM419" i="5"/>
  <c r="AN419" i="5" s="1"/>
  <c r="AM167" i="5"/>
  <c r="AO167" i="5" s="1"/>
  <c r="AM23" i="5"/>
  <c r="AN23" i="5" s="1"/>
  <c r="T198" i="5"/>
  <c r="T58" i="5"/>
  <c r="V58" i="5" s="1"/>
  <c r="AM232" i="5"/>
  <c r="AO232" i="5" s="1"/>
  <c r="AM296" i="5"/>
  <c r="AN296" i="5" s="1"/>
  <c r="AM168" i="5"/>
  <c r="AN168" i="5" s="1"/>
  <c r="AM8" i="5"/>
  <c r="AO8" i="5" s="1"/>
  <c r="AM276" i="5"/>
  <c r="AO276" i="5" s="1"/>
  <c r="AM39" i="5"/>
  <c r="AO39" i="5" s="1"/>
  <c r="AJ371" i="5"/>
  <c r="AK371" i="5" s="1"/>
  <c r="O12" i="5"/>
  <c r="T12" i="5" s="1"/>
  <c r="AM477" i="5"/>
  <c r="AN477" i="5" s="1"/>
  <c r="AM314" i="5"/>
  <c r="AO314" i="5" s="1"/>
  <c r="AM125" i="5"/>
  <c r="AN125" i="5" s="1"/>
  <c r="AM505" i="5"/>
  <c r="AN505" i="5" s="1"/>
  <c r="AM406" i="5"/>
  <c r="AO406" i="5" s="1"/>
  <c r="AM249" i="5"/>
  <c r="AO249" i="5" s="1"/>
  <c r="AM221" i="5"/>
  <c r="AO221" i="5" s="1"/>
  <c r="AM70" i="5"/>
  <c r="AN70" i="5" s="1"/>
  <c r="AM537" i="5"/>
  <c r="AN537" i="5" s="1"/>
  <c r="AM335" i="5"/>
  <c r="AN335" i="5" s="1"/>
  <c r="AM287" i="5"/>
  <c r="AN287" i="5" s="1"/>
  <c r="AM199" i="5"/>
  <c r="AO199" i="5" s="1"/>
  <c r="AM47" i="5"/>
  <c r="AO47" i="5" s="1"/>
  <c r="AM103" i="5"/>
  <c r="AO103" i="5" s="1"/>
  <c r="T218" i="5"/>
  <c r="AM538" i="5"/>
  <c r="AO538" i="5" s="1"/>
  <c r="T184" i="5"/>
  <c r="U184" i="5" s="1"/>
  <c r="AM40" i="5"/>
  <c r="AO40" i="5" s="1"/>
  <c r="AM88" i="5"/>
  <c r="AN88" i="5" s="1"/>
  <c r="AM137" i="5"/>
  <c r="AO137" i="5" s="1"/>
  <c r="AM451" i="5"/>
  <c r="AM259" i="5"/>
  <c r="AO259" i="5" s="1"/>
  <c r="AJ379" i="5"/>
  <c r="AK379" i="5" s="1"/>
  <c r="AM442" i="5"/>
  <c r="AO442" i="5" s="1"/>
  <c r="AM178" i="5"/>
  <c r="AO178" i="5" s="1"/>
  <c r="AM114" i="5"/>
  <c r="AN114" i="5" s="1"/>
  <c r="AM473" i="5"/>
  <c r="AN473" i="5" s="1"/>
  <c r="AM380" i="5"/>
  <c r="AN380" i="5" s="1"/>
  <c r="AM278" i="5"/>
  <c r="AN278" i="5" s="1"/>
  <c r="AM172" i="5"/>
  <c r="AO172" i="5" s="1"/>
  <c r="AM50" i="5"/>
  <c r="AN50" i="5" s="1"/>
  <c r="AM231" i="5"/>
  <c r="AO231" i="5" s="1"/>
  <c r="T219" i="5"/>
  <c r="U219" i="5" s="1"/>
  <c r="AM207" i="5"/>
  <c r="AO207" i="5" s="1"/>
  <c r="T111" i="5"/>
  <c r="U111" i="5" s="1"/>
  <c r="T42" i="5"/>
  <c r="U42" i="5" s="1"/>
  <c r="AM526" i="5"/>
  <c r="AN526" i="5" s="1"/>
  <c r="AM392" i="5"/>
  <c r="AN392" i="5" s="1"/>
  <c r="AM264" i="5"/>
  <c r="AN264" i="5" s="1"/>
  <c r="AM192" i="5"/>
  <c r="AN192" i="5" s="1"/>
  <c r="AM555" i="5"/>
  <c r="AN555" i="5" s="1"/>
  <c r="AM97" i="5"/>
  <c r="AN97" i="5" s="1"/>
  <c r="AM283" i="5"/>
  <c r="AN283" i="5" s="1"/>
  <c r="AM159" i="5"/>
  <c r="AO159" i="5" s="1"/>
  <c r="T23" i="5"/>
  <c r="U23" i="5" s="1"/>
  <c r="T71" i="5"/>
  <c r="V71" i="5" s="1"/>
  <c r="AM111" i="5"/>
  <c r="AO111" i="5" s="1"/>
  <c r="T193" i="5"/>
  <c r="AM534" i="5"/>
  <c r="AN534" i="5" s="1"/>
  <c r="AM152" i="5"/>
  <c r="AO152" i="5" s="1"/>
  <c r="AM112" i="5"/>
  <c r="AO112" i="5" s="1"/>
  <c r="AM139" i="5"/>
  <c r="AO139" i="5" s="1"/>
  <c r="AM539" i="5"/>
  <c r="AM497" i="5"/>
  <c r="AO497" i="5" s="1"/>
  <c r="AM233" i="5"/>
  <c r="AO233" i="5" s="1"/>
  <c r="AM25" i="5"/>
  <c r="AO25" i="5" s="1"/>
  <c r="AM557" i="5"/>
  <c r="AO557" i="5" s="1"/>
  <c r="AM467" i="5"/>
  <c r="AO467" i="5" s="1"/>
  <c r="AM355" i="5"/>
  <c r="AO355" i="5" s="1"/>
  <c r="AM147" i="5"/>
  <c r="AN147" i="5" s="1"/>
  <c r="AM284" i="5"/>
  <c r="AN284" i="5" s="1"/>
  <c r="AM92" i="5"/>
  <c r="AO92" i="5" s="1"/>
  <c r="AM416" i="5"/>
  <c r="AN416" i="5" s="1"/>
  <c r="AM432" i="5"/>
  <c r="AN432" i="5" s="1"/>
  <c r="AM512" i="5"/>
  <c r="AO512" i="5" s="1"/>
  <c r="AM240" i="5"/>
  <c r="AO240" i="5" s="1"/>
  <c r="AM96" i="5"/>
  <c r="AN96" i="5" s="1"/>
  <c r="AM265" i="5"/>
  <c r="AO265" i="5" s="1"/>
  <c r="AM33" i="5"/>
  <c r="AN33" i="5" s="1"/>
  <c r="AM521" i="5"/>
  <c r="AN521" i="5" s="1"/>
  <c r="AM475" i="5"/>
  <c r="AO475" i="5" s="1"/>
  <c r="AM363" i="5"/>
  <c r="AO363" i="5" s="1"/>
  <c r="AM171" i="5"/>
  <c r="AM140" i="5"/>
  <c r="AO140" i="5" s="1"/>
  <c r="AM108" i="5"/>
  <c r="AM89" i="5"/>
  <c r="AN89" i="5" s="1"/>
  <c r="AJ51" i="5"/>
  <c r="AK51" i="5" s="1"/>
  <c r="AJ105" i="5"/>
  <c r="AL105" i="5" s="1"/>
  <c r="AM320" i="5"/>
  <c r="AO320" i="5" s="1"/>
  <c r="AM384" i="5"/>
  <c r="AO384" i="5" s="1"/>
  <c r="AM256" i="5"/>
  <c r="AN256" i="5" s="1"/>
  <c r="AM304" i="5"/>
  <c r="AO304" i="5" s="1"/>
  <c r="AM160" i="5"/>
  <c r="AO160" i="5" s="1"/>
  <c r="AM200" i="5"/>
  <c r="AO200" i="5" s="1"/>
  <c r="AM527" i="5"/>
  <c r="AN527" i="5" s="1"/>
  <c r="AM273" i="5"/>
  <c r="AO273" i="5" s="1"/>
  <c r="AM49" i="5"/>
  <c r="AN49" i="5" s="1"/>
  <c r="AM371" i="5"/>
  <c r="AN371" i="5" s="1"/>
  <c r="AM27" i="5"/>
  <c r="AO27" i="5" s="1"/>
  <c r="AM156" i="5"/>
  <c r="AO156" i="5" s="1"/>
  <c r="AM305" i="5"/>
  <c r="AN305" i="5" s="1"/>
  <c r="AM65" i="5"/>
  <c r="AO65" i="5" s="1"/>
  <c r="AM491" i="5"/>
  <c r="AN491" i="5" s="1"/>
  <c r="AM43" i="5"/>
  <c r="AO43" i="5" s="1"/>
  <c r="AM164" i="5"/>
  <c r="AN164" i="5" s="1"/>
  <c r="AM179" i="5"/>
  <c r="AO179" i="5" s="1"/>
  <c r="AJ273" i="5"/>
  <c r="AL273" i="5" s="1"/>
  <c r="AM312" i="5"/>
  <c r="AO312" i="5" s="1"/>
  <c r="AM433" i="5"/>
  <c r="AN433" i="5" s="1"/>
  <c r="AM313" i="5"/>
  <c r="AM73" i="5"/>
  <c r="AM427" i="5"/>
  <c r="AM499" i="5"/>
  <c r="AM51" i="5"/>
  <c r="AM212" i="5"/>
  <c r="AN212" i="5" s="1"/>
  <c r="AM343" i="5"/>
  <c r="AN343" i="5" s="1"/>
  <c r="AG43" i="5"/>
  <c r="AG191" i="5"/>
  <c r="AG431" i="5"/>
  <c r="AG329" i="5"/>
  <c r="AG263" i="5"/>
  <c r="AG331" i="5"/>
  <c r="AG342" i="5"/>
  <c r="AG541" i="5"/>
  <c r="AG150" i="5"/>
  <c r="AG95" i="5"/>
  <c r="AG241" i="5"/>
  <c r="AG399" i="5"/>
  <c r="AG52" i="5"/>
  <c r="AG388" i="5"/>
  <c r="AG430" i="5"/>
  <c r="AG325" i="5"/>
  <c r="AG543" i="5"/>
  <c r="AG53" i="5"/>
  <c r="AG369" i="5"/>
  <c r="B29" i="2"/>
  <c r="B25" i="2"/>
  <c r="B27" i="2"/>
  <c r="B23" i="2"/>
  <c r="B20" i="2"/>
  <c r="T90" i="5"/>
  <c r="T168" i="5"/>
  <c r="U168" i="5" s="1"/>
  <c r="T132" i="5"/>
  <c r="V132" i="5" s="1"/>
  <c r="T165" i="5"/>
  <c r="T189" i="5"/>
  <c r="AJ225" i="5"/>
  <c r="AK225" i="5" s="1"/>
  <c r="T143" i="5"/>
  <c r="V143" i="5" s="1"/>
  <c r="T103" i="5"/>
  <c r="U103" i="5" s="1"/>
  <c r="T217" i="5"/>
  <c r="T110" i="5"/>
  <c r="V110" i="5" s="1"/>
  <c r="T277" i="5"/>
  <c r="U277" i="5" s="1"/>
  <c r="T124" i="5"/>
  <c r="T46" i="5"/>
  <c r="U46" i="5" s="1"/>
  <c r="T158" i="5"/>
  <c r="T102" i="5"/>
  <c r="U102" i="5" s="1"/>
  <c r="T240" i="5"/>
  <c r="T200" i="5"/>
  <c r="T255" i="5"/>
  <c r="U255" i="5" s="1"/>
  <c r="T220" i="5"/>
  <c r="U220" i="5" s="1"/>
  <c r="T97" i="5"/>
  <c r="U97" i="5" s="1"/>
  <c r="T213" i="5"/>
  <c r="U213" i="5" s="1"/>
  <c r="T108" i="5"/>
  <c r="U108" i="5" s="1"/>
  <c r="B43" i="5"/>
  <c r="T163" i="5"/>
  <c r="T81" i="5"/>
  <c r="U81" i="5" s="1"/>
  <c r="T128" i="5"/>
  <c r="T48" i="5"/>
  <c r="U48" i="5" s="1"/>
  <c r="T99" i="5"/>
  <c r="U99" i="5" s="1"/>
  <c r="T127" i="5"/>
  <c r="T202" i="5"/>
  <c r="V202" i="5" s="1"/>
  <c r="T78" i="5"/>
  <c r="V78" i="5" s="1"/>
  <c r="T157" i="5"/>
  <c r="T60" i="5"/>
  <c r="U60" i="5" s="1"/>
  <c r="T238" i="5"/>
  <c r="U238" i="5" s="1"/>
  <c r="T178" i="5"/>
  <c r="V178" i="5" s="1"/>
  <c r="T77" i="5"/>
  <c r="V77" i="5" s="1"/>
  <c r="T144" i="5"/>
  <c r="T216" i="5"/>
  <c r="U216" i="5" s="1"/>
  <c r="T96" i="5"/>
  <c r="V96" i="5" s="1"/>
  <c r="T147" i="5"/>
  <c r="U147" i="5" s="1"/>
  <c r="AJ227" i="5"/>
  <c r="AK227" i="5" s="1"/>
  <c r="T179" i="5"/>
  <c r="T49" i="5"/>
  <c r="T197" i="5"/>
  <c r="T68" i="5"/>
  <c r="T234" i="5"/>
  <c r="U234" i="5" s="1"/>
  <c r="T148" i="5"/>
  <c r="T54" i="5"/>
  <c r="U54" i="5" s="1"/>
  <c r="AM163" i="5"/>
  <c r="AO163" i="5" s="1"/>
  <c r="AM488" i="5"/>
  <c r="AN488" i="5" s="1"/>
  <c r="T278" i="5"/>
  <c r="U278" i="5" s="1"/>
  <c r="T145" i="5"/>
  <c r="U145" i="5" s="1"/>
  <c r="T45" i="5"/>
  <c r="V45" i="5" s="1"/>
  <c r="T182" i="5"/>
  <c r="U182" i="5" s="1"/>
  <c r="T62" i="5"/>
  <c r="T209" i="5"/>
  <c r="T116" i="5"/>
  <c r="V116" i="5" s="1"/>
  <c r="T29" i="5"/>
  <c r="T104" i="5"/>
  <c r="U104" i="5" s="1"/>
  <c r="T534" i="5"/>
  <c r="U534" i="5" s="1"/>
  <c r="T136" i="5"/>
  <c r="U136" i="5" s="1"/>
  <c r="T175" i="5"/>
  <c r="T257" i="5"/>
  <c r="V257" i="5" s="1"/>
  <c r="T129" i="5"/>
  <c r="V129" i="5" s="1"/>
  <c r="T21" i="5"/>
  <c r="U21" i="5" s="1"/>
  <c r="T86" i="5"/>
  <c r="V86" i="5" s="1"/>
  <c r="T20" i="5"/>
  <c r="T164" i="5"/>
  <c r="U164" i="5" s="1"/>
  <c r="T113" i="5"/>
  <c r="V113" i="5" s="1"/>
  <c r="T120" i="5"/>
  <c r="T40" i="5"/>
  <c r="V40" i="5" s="1"/>
  <c r="T72" i="5"/>
  <c r="U72" i="5" s="1"/>
  <c r="AM504" i="5"/>
  <c r="AN504" i="5" s="1"/>
  <c r="B59" i="2"/>
  <c r="K26" i="2"/>
  <c r="B67" i="2"/>
  <c r="M26" i="2"/>
  <c r="B63" i="2"/>
  <c r="L26" i="2"/>
  <c r="AH433" i="5"/>
  <c r="AI433" i="5"/>
  <c r="AJ43" i="5"/>
  <c r="AL43" i="5" s="1"/>
  <c r="AJ147" i="5"/>
  <c r="AK147" i="5" s="1"/>
  <c r="B43" i="2"/>
  <c r="K35" i="2"/>
  <c r="AJ153" i="5"/>
  <c r="AL153" i="5" s="1"/>
  <c r="AJ169" i="5"/>
  <c r="AK169" i="5" s="1"/>
  <c r="AM64" i="5"/>
  <c r="AO64" i="5" s="1"/>
  <c r="L35" i="2"/>
  <c r="AM80" i="5"/>
  <c r="AO80" i="5" s="1"/>
  <c r="AJ483" i="5"/>
  <c r="AL483" i="5" s="1"/>
  <c r="AM472" i="5"/>
  <c r="AO472" i="5" s="1"/>
  <c r="T176" i="5"/>
  <c r="AI334" i="5"/>
  <c r="AM352" i="5"/>
  <c r="AO352" i="5" s="1"/>
  <c r="Q554" i="5"/>
  <c r="S554" i="5" s="1"/>
  <c r="Q312" i="5"/>
  <c r="S312" i="5" s="1"/>
  <c r="K35" i="5"/>
  <c r="W184" i="5"/>
  <c r="X184" i="5" s="1"/>
  <c r="W451" i="5"/>
  <c r="Y451" i="5" s="1"/>
  <c r="W319" i="5"/>
  <c r="Y319" i="5" s="1"/>
  <c r="Q344" i="5"/>
  <c r="R344" i="5" s="1"/>
  <c r="Q304" i="5"/>
  <c r="R304" i="5" s="1"/>
  <c r="W78" i="5"/>
  <c r="Y78" i="5" s="1"/>
  <c r="Q534" i="5"/>
  <c r="Q48" i="5"/>
  <c r="S48" i="5" s="1"/>
  <c r="Q320" i="5"/>
  <c r="S320" i="5" s="1"/>
  <c r="Q392" i="5"/>
  <c r="S392" i="5" s="1"/>
  <c r="Q400" i="5"/>
  <c r="S400" i="5" s="1"/>
  <c r="Q488" i="5"/>
  <c r="S488" i="5" s="1"/>
  <c r="Q8" i="5"/>
  <c r="R8" i="5" s="1"/>
  <c r="Q440" i="5"/>
  <c r="S440" i="5" s="1"/>
  <c r="Q200" i="5"/>
  <c r="Q72" i="5"/>
  <c r="S72" i="5" s="1"/>
  <c r="W301" i="5"/>
  <c r="X301" i="5" s="1"/>
  <c r="Q526" i="5"/>
  <c r="R526" i="5" s="1"/>
  <c r="Q456" i="5"/>
  <c r="S456" i="5" s="1"/>
  <c r="Q208" i="5"/>
  <c r="R208" i="5" s="1"/>
  <c r="Q512" i="5"/>
  <c r="S512" i="5" s="1"/>
  <c r="Q144" i="5"/>
  <c r="R144" i="5" s="1"/>
  <c r="B49" i="5"/>
  <c r="W272" i="5"/>
  <c r="W74" i="5"/>
  <c r="Y74" i="5" s="1"/>
  <c r="Q432" i="5"/>
  <c r="S432" i="5" s="1"/>
  <c r="Q168" i="5"/>
  <c r="S168" i="5" s="1"/>
  <c r="Q104" i="5"/>
  <c r="R104" i="5" s="1"/>
  <c r="Q448" i="5"/>
  <c r="R448" i="5" s="1"/>
  <c r="Q480" i="5"/>
  <c r="R480" i="5" s="1"/>
  <c r="Q384" i="5"/>
  <c r="S384" i="5" s="1"/>
  <c r="Q224" i="5"/>
  <c r="R224" i="5" s="1"/>
  <c r="Q152" i="5"/>
  <c r="S152" i="5" s="1"/>
  <c r="Q56" i="5"/>
  <c r="R56" i="5" s="1"/>
  <c r="Q112" i="5"/>
  <c r="R112" i="5" s="1"/>
  <c r="Q538" i="5"/>
  <c r="S538" i="5" s="1"/>
  <c r="Q496" i="5"/>
  <c r="S496" i="5" s="1"/>
  <c r="Q256" i="5"/>
  <c r="S256" i="5" s="1"/>
  <c r="Q120" i="5"/>
  <c r="R120" i="5" s="1"/>
  <c r="Q216" i="5"/>
  <c r="S216" i="5" s="1"/>
  <c r="Q80" i="5"/>
  <c r="S80" i="5" s="1"/>
  <c r="Q424" i="5"/>
  <c r="S424" i="5" s="1"/>
  <c r="Q464" i="5"/>
  <c r="S464" i="5" s="1"/>
  <c r="Q352" i="5"/>
  <c r="S352" i="5" s="1"/>
  <c r="Q264" i="5"/>
  <c r="S264" i="5" s="1"/>
  <c r="Q176" i="5"/>
  <c r="Q546" i="5"/>
  <c r="Q472" i="5"/>
  <c r="S472" i="5" s="1"/>
  <c r="Q416" i="5"/>
  <c r="R416" i="5" s="1"/>
  <c r="Q272" i="5"/>
  <c r="R272" i="5" s="1"/>
  <c r="Q40" i="5"/>
  <c r="S40" i="5" s="1"/>
  <c r="W515" i="5"/>
  <c r="Y515" i="5" s="1"/>
  <c r="W55" i="5"/>
  <c r="X55" i="5" s="1"/>
  <c r="W557" i="5"/>
  <c r="W453" i="5"/>
  <c r="Y453" i="5" s="1"/>
  <c r="W270" i="5"/>
  <c r="Y270" i="5" s="1"/>
  <c r="W100" i="5"/>
  <c r="Y100" i="5" s="1"/>
  <c r="W341" i="5"/>
  <c r="Y341" i="5" s="1"/>
  <c r="W375" i="5"/>
  <c r="Y375" i="5" s="1"/>
  <c r="W26" i="5"/>
  <c r="X26" i="5" s="1"/>
  <c r="Q296" i="5"/>
  <c r="R296" i="5" s="1"/>
  <c r="Q328" i="5"/>
  <c r="S328" i="5" s="1"/>
  <c r="Q360" i="5"/>
  <c r="S360" i="5" s="1"/>
  <c r="Q232" i="5"/>
  <c r="S232" i="5" s="1"/>
  <c r="Q128" i="5"/>
  <c r="R128" i="5" s="1"/>
  <c r="W160" i="5"/>
  <c r="Y160" i="5" s="1"/>
  <c r="Q184" i="5"/>
  <c r="S184" i="5" s="1"/>
  <c r="W24" i="5"/>
  <c r="Y24" i="5" s="1"/>
  <c r="Q64" i="5"/>
  <c r="R64" i="5" s="1"/>
  <c r="Q88" i="5"/>
  <c r="S88" i="5" s="1"/>
  <c r="W66" i="5"/>
  <c r="Y66" i="5" s="1"/>
  <c r="W281" i="5"/>
  <c r="X281" i="5" s="1"/>
  <c r="W28" i="5"/>
  <c r="X28" i="5" s="1"/>
  <c r="W490" i="5"/>
  <c r="X490" i="5" s="1"/>
  <c r="W372" i="5"/>
  <c r="Y372" i="5" s="1"/>
  <c r="W102" i="5"/>
  <c r="Y102" i="5" s="1"/>
  <c r="W86" i="5"/>
  <c r="Y86" i="5" s="1"/>
  <c r="W331" i="5"/>
  <c r="W441" i="5"/>
  <c r="X441" i="5" s="1"/>
  <c r="W204" i="5"/>
  <c r="Y204" i="5" s="1"/>
  <c r="W260" i="5"/>
  <c r="X260" i="5" s="1"/>
  <c r="W399" i="5"/>
  <c r="Y399" i="5" s="1"/>
  <c r="W492" i="5"/>
  <c r="X492" i="5" s="1"/>
  <c r="Q336" i="5"/>
  <c r="S336" i="5" s="1"/>
  <c r="Q368" i="5"/>
  <c r="Q408" i="5"/>
  <c r="S408" i="5" s="1"/>
  <c r="Q240" i="5"/>
  <c r="R240" i="5" s="1"/>
  <c r="Q280" i="5"/>
  <c r="S280" i="5" s="1"/>
  <c r="W136" i="5"/>
  <c r="Y136" i="5" s="1"/>
  <c r="Q160" i="5"/>
  <c r="S160" i="5" s="1"/>
  <c r="W192" i="5"/>
  <c r="Y192" i="5" s="1"/>
  <c r="Q24" i="5"/>
  <c r="S24" i="5" s="1"/>
  <c r="W282" i="5"/>
  <c r="W323" i="5"/>
  <c r="X323" i="5" s="1"/>
  <c r="W135" i="5"/>
  <c r="X135" i="5" s="1"/>
  <c r="W439" i="5"/>
  <c r="X439" i="5" s="1"/>
  <c r="W501" i="5"/>
  <c r="Y501" i="5" s="1"/>
  <c r="W210" i="5"/>
  <c r="Y210" i="5" s="1"/>
  <c r="W259" i="5"/>
  <c r="Y259" i="5" s="1"/>
  <c r="W98" i="5"/>
  <c r="X98" i="5" s="1"/>
  <c r="W110" i="5"/>
  <c r="W291" i="5"/>
  <c r="X291" i="5" s="1"/>
  <c r="W139" i="5"/>
  <c r="X139" i="5" s="1"/>
  <c r="W159" i="5"/>
  <c r="X159" i="5" s="1"/>
  <c r="W382" i="5"/>
  <c r="X382" i="5" s="1"/>
  <c r="W216" i="5"/>
  <c r="X216" i="5" s="1"/>
  <c r="W472" i="5"/>
  <c r="Y472" i="5" s="1"/>
  <c r="Q504" i="5"/>
  <c r="S504" i="5" s="1"/>
  <c r="Q376" i="5"/>
  <c r="Q248" i="5"/>
  <c r="R248" i="5" s="1"/>
  <c r="Q288" i="5"/>
  <c r="S288" i="5" s="1"/>
  <c r="Q136" i="5"/>
  <c r="R136" i="5" s="1"/>
  <c r="W168" i="5"/>
  <c r="Y168" i="5" s="1"/>
  <c r="Q192" i="5"/>
  <c r="S192" i="5" s="1"/>
  <c r="Q32" i="5"/>
  <c r="S32" i="5" s="1"/>
  <c r="W72" i="5"/>
  <c r="X72" i="5" s="1"/>
  <c r="W262" i="5"/>
  <c r="W29" i="5"/>
  <c r="Y29" i="5" s="1"/>
  <c r="W62" i="5"/>
  <c r="Y62" i="5" s="1"/>
  <c r="W365" i="5"/>
  <c r="X365" i="5" s="1"/>
  <c r="W497" i="5"/>
  <c r="Y497" i="5" s="1"/>
  <c r="W183" i="5"/>
  <c r="Y183" i="5" s="1"/>
  <c r="W239" i="5"/>
  <c r="X239" i="5" s="1"/>
  <c r="W334" i="5"/>
  <c r="Y334" i="5" s="1"/>
  <c r="W243" i="5"/>
  <c r="Y243" i="5" s="1"/>
  <c r="W212" i="5"/>
  <c r="W521" i="5"/>
  <c r="X521" i="5" s="1"/>
  <c r="W51" i="5"/>
  <c r="X51" i="5" s="1"/>
  <c r="W330" i="5"/>
  <c r="X330" i="5" s="1"/>
  <c r="W526" i="5"/>
  <c r="X526" i="5" s="1"/>
  <c r="W333" i="5"/>
  <c r="Y333" i="5" s="1"/>
  <c r="W321" i="5"/>
  <c r="X321" i="5" s="1"/>
  <c r="W481" i="5"/>
  <c r="Y481" i="5" s="1"/>
  <c r="W405" i="5"/>
  <c r="W65" i="5"/>
  <c r="X65" i="5" s="1"/>
  <c r="W274" i="5"/>
  <c r="Y274" i="5" s="1"/>
  <c r="W305" i="5"/>
  <c r="X305" i="5" s="1"/>
  <c r="W101" i="5"/>
  <c r="X101" i="5" s="1"/>
  <c r="W467" i="5"/>
  <c r="X467" i="5" s="1"/>
  <c r="W60" i="5"/>
  <c r="Y60" i="5" s="1"/>
  <c r="W366" i="5"/>
  <c r="W290" i="5"/>
  <c r="W189" i="5"/>
  <c r="X189" i="5" s="1"/>
  <c r="W554" i="5"/>
  <c r="X554" i="5" s="1"/>
  <c r="W80" i="5"/>
  <c r="X80" i="5" s="1"/>
  <c r="W75" i="5"/>
  <c r="X75" i="5" s="1"/>
  <c r="W438" i="5"/>
  <c r="Y438" i="5" s="1"/>
  <c r="W386" i="5"/>
  <c r="X386" i="5" s="1"/>
  <c r="W132" i="5"/>
  <c r="W343" i="5"/>
  <c r="W237" i="5"/>
  <c r="X237" i="5" s="1"/>
  <c r="W181" i="5"/>
  <c r="X181" i="5" s="1"/>
  <c r="W71" i="5"/>
  <c r="Y71" i="5" s="1"/>
  <c r="W422" i="5"/>
  <c r="X422" i="5" s="1"/>
  <c r="W197" i="5"/>
  <c r="X197" i="5" s="1"/>
  <c r="W549" i="5"/>
  <c r="Y549" i="5" s="1"/>
  <c r="W293" i="5"/>
  <c r="X293" i="5" s="1"/>
  <c r="W403" i="5"/>
  <c r="X161" i="5"/>
  <c r="W392" i="5"/>
  <c r="Y392" i="5" s="1"/>
  <c r="W394" i="5"/>
  <c r="Y394" i="5" s="1"/>
  <c r="W358" i="5"/>
  <c r="Y358" i="5" s="1"/>
  <c r="W517" i="5"/>
  <c r="X517" i="5" s="1"/>
  <c r="W125" i="5"/>
  <c r="W551" i="5"/>
  <c r="Y551" i="5" s="1"/>
  <c r="W106" i="5"/>
  <c r="X106" i="5" s="1"/>
  <c r="W255" i="5"/>
  <c r="X255" i="5" s="1"/>
  <c r="W436" i="5"/>
  <c r="X436" i="5" s="1"/>
  <c r="W535" i="5"/>
  <c r="Y535" i="5" s="1"/>
  <c r="W340" i="5"/>
  <c r="Y340" i="5" s="1"/>
  <c r="W154" i="5"/>
  <c r="W435" i="5"/>
  <c r="W158" i="5"/>
  <c r="X158" i="5" s="1"/>
  <c r="W27" i="5"/>
  <c r="Y27" i="5" s="1"/>
  <c r="W122" i="5"/>
  <c r="W348" i="5"/>
  <c r="Y348" i="5" s="1"/>
  <c r="W510" i="5"/>
  <c r="X510" i="5" s="1"/>
  <c r="W68" i="5"/>
  <c r="W507" i="5"/>
  <c r="Y507" i="5" s="1"/>
  <c r="W454" i="5"/>
  <c r="X454" i="5" s="1"/>
  <c r="W531" i="5"/>
  <c r="X531" i="5" s="1"/>
  <c r="W449" i="5"/>
  <c r="Y449" i="5" s="1"/>
  <c r="W267" i="5"/>
  <c r="X267" i="5" s="1"/>
  <c r="W177" i="5"/>
  <c r="Y177" i="5" s="1"/>
  <c r="W299" i="5"/>
  <c r="Y299" i="5" s="1"/>
  <c r="W351" i="5"/>
  <c r="Y351" i="5" s="1"/>
  <c r="W536" i="5"/>
  <c r="Y536" i="5" s="1"/>
  <c r="S19" i="4"/>
  <c r="AL19" i="4" s="1"/>
  <c r="S27" i="4"/>
  <c r="AL27" i="4" s="1"/>
  <c r="S35" i="4"/>
  <c r="AL35" i="4" s="1"/>
  <c r="S43" i="4"/>
  <c r="AL43" i="4" s="1"/>
  <c r="S51" i="4"/>
  <c r="AL51" i="4" s="1"/>
  <c r="S60" i="4"/>
  <c r="AL60" i="4" s="1"/>
  <c r="S134" i="4"/>
  <c r="AL134" i="4" s="1"/>
  <c r="S98" i="4"/>
  <c r="U98" i="4" s="1"/>
  <c r="S65" i="4"/>
  <c r="AL65" i="4" s="1"/>
  <c r="S92" i="4"/>
  <c r="AL92" i="4" s="1"/>
  <c r="S123" i="4"/>
  <c r="AL123" i="4" s="1"/>
  <c r="S149" i="4"/>
  <c r="AL149" i="4" s="1"/>
  <c r="S91" i="4"/>
  <c r="AL91" i="4" s="1"/>
  <c r="S133" i="4"/>
  <c r="AS133" i="4" s="1"/>
  <c r="S145" i="4"/>
  <c r="AL145" i="4" s="1"/>
  <c r="S138" i="4"/>
  <c r="AL138" i="4" s="1"/>
  <c r="S113" i="4"/>
  <c r="AL113" i="4" s="1"/>
  <c r="S89" i="4"/>
  <c r="AL89" i="4" s="1"/>
  <c r="S7" i="4"/>
  <c r="AL7" i="4" s="1"/>
  <c r="S58" i="4"/>
  <c r="AL58" i="4" s="1"/>
  <c r="S122" i="4"/>
  <c r="AL122" i="4" s="1"/>
  <c r="S73" i="4"/>
  <c r="V73" i="4" s="1"/>
  <c r="AM73" i="4" s="1"/>
  <c r="S20" i="4"/>
  <c r="AL20" i="4" s="1"/>
  <c r="S28" i="4"/>
  <c r="AL28" i="4" s="1"/>
  <c r="S36" i="4"/>
  <c r="AL36" i="4" s="1"/>
  <c r="S44" i="4"/>
  <c r="AL44" i="4" s="1"/>
  <c r="S52" i="4"/>
  <c r="AL52" i="4" s="1"/>
  <c r="S67" i="4"/>
  <c r="AL67" i="4" s="1"/>
  <c r="S68" i="4"/>
  <c r="AL68" i="4" s="1"/>
  <c r="S102" i="4"/>
  <c r="AL102" i="4" s="1"/>
  <c r="S66" i="4"/>
  <c r="AL66" i="4" s="1"/>
  <c r="S96" i="4"/>
  <c r="AL96" i="4" s="1"/>
  <c r="S124" i="4"/>
  <c r="AL124" i="4" s="1"/>
  <c r="S153" i="4"/>
  <c r="AL153" i="4" s="1"/>
  <c r="S95" i="4"/>
  <c r="AL95" i="4" s="1"/>
  <c r="S77" i="4"/>
  <c r="V77" i="4" s="1"/>
  <c r="S156" i="4"/>
  <c r="AL156" i="4" s="1"/>
  <c r="S141" i="4"/>
  <c r="AS141" i="4" s="1"/>
  <c r="S117" i="4"/>
  <c r="AL117" i="4" s="1"/>
  <c r="S108" i="4"/>
  <c r="AL108" i="4" s="1"/>
  <c r="S50" i="4"/>
  <c r="AL50" i="4" s="1"/>
  <c r="S88" i="4"/>
  <c r="AL88" i="4" s="1"/>
  <c r="S118" i="4"/>
  <c r="U118" i="4" s="1"/>
  <c r="S15" i="4"/>
  <c r="AL15" i="4" s="1"/>
  <c r="S21" i="4"/>
  <c r="S29" i="4"/>
  <c r="AL29" i="4" s="1"/>
  <c r="S37" i="4"/>
  <c r="AL37" i="4" s="1"/>
  <c r="S45" i="4"/>
  <c r="AL45" i="4" s="1"/>
  <c r="S53" i="4"/>
  <c r="AL53" i="4" s="1"/>
  <c r="S62" i="4"/>
  <c r="U62" i="4" s="1"/>
  <c r="S74" i="4"/>
  <c r="AL74" i="4" s="1"/>
  <c r="S109" i="4"/>
  <c r="AL109" i="4" s="1"/>
  <c r="S71" i="4"/>
  <c r="AL71" i="4" s="1"/>
  <c r="S100" i="4"/>
  <c r="AL100" i="4" s="1"/>
  <c r="S125" i="4"/>
  <c r="AL125" i="4" s="1"/>
  <c r="S8" i="4"/>
  <c r="AL8" i="4" s="1"/>
  <c r="S103" i="4"/>
  <c r="AL103" i="4" s="1"/>
  <c r="S93" i="4"/>
  <c r="AL93" i="4" s="1"/>
  <c r="S9" i="4"/>
  <c r="AL9" i="4" s="1"/>
  <c r="S152" i="4"/>
  <c r="AL152" i="4" s="1"/>
  <c r="S147" i="4"/>
  <c r="AL147" i="4" s="1"/>
  <c r="S116" i="4"/>
  <c r="AL116" i="4" s="1"/>
  <c r="S26" i="4"/>
  <c r="AL26" i="4" s="1"/>
  <c r="S130" i="4"/>
  <c r="U130" i="4" s="1"/>
  <c r="S83" i="4"/>
  <c r="AL83" i="4" s="1"/>
  <c r="S101" i="4"/>
  <c r="S63" i="4"/>
  <c r="AL63" i="4" s="1"/>
  <c r="S22" i="4"/>
  <c r="AL22" i="4" s="1"/>
  <c r="S30" i="4"/>
  <c r="AL30" i="4" s="1"/>
  <c r="S38" i="4"/>
  <c r="AL38" i="4" s="1"/>
  <c r="S46" i="4"/>
  <c r="AL46" i="4" s="1"/>
  <c r="S54" i="4"/>
  <c r="AL54" i="4" s="1"/>
  <c r="S69" i="4"/>
  <c r="AL69" i="4" s="1"/>
  <c r="S78" i="4"/>
  <c r="AL78" i="4" s="1"/>
  <c r="S110" i="4"/>
  <c r="AL110" i="4" s="1"/>
  <c r="S72" i="4"/>
  <c r="AL72" i="4" s="1"/>
  <c r="S105" i="4"/>
  <c r="V105" i="4" s="1"/>
  <c r="S126" i="4"/>
  <c r="AL126" i="4" s="1"/>
  <c r="S61" i="4"/>
  <c r="AL61" i="4" s="1"/>
  <c r="S104" i="4"/>
  <c r="AL104" i="4" s="1"/>
  <c r="S107" i="4"/>
  <c r="AL107" i="4" s="1"/>
  <c r="S10" i="4"/>
  <c r="AS10" i="4" s="1"/>
  <c r="S155" i="4"/>
  <c r="AS155" i="4" s="1"/>
  <c r="S148" i="4"/>
  <c r="AL148" i="4" s="1"/>
  <c r="S143" i="4"/>
  <c r="U143" i="4" s="1"/>
  <c r="S18" i="4"/>
  <c r="AL18" i="4" s="1"/>
  <c r="S94" i="4"/>
  <c r="S132" i="4"/>
  <c r="S64" i="4"/>
  <c r="AL64" i="4" s="1"/>
  <c r="S23" i="4"/>
  <c r="AL23" i="4" s="1"/>
  <c r="S31" i="4"/>
  <c r="AL31" i="4" s="1"/>
  <c r="S39" i="4"/>
  <c r="AL39" i="4" s="1"/>
  <c r="S47" i="4"/>
  <c r="AL47" i="4" s="1"/>
  <c r="S55" i="4"/>
  <c r="AL55" i="4" s="1"/>
  <c r="S87" i="4"/>
  <c r="AL87" i="4" s="1"/>
  <c r="S82" i="4"/>
  <c r="AL82" i="4" s="1"/>
  <c r="S119" i="4"/>
  <c r="AL119" i="4" s="1"/>
  <c r="S76" i="4"/>
  <c r="AL76" i="4" s="1"/>
  <c r="S106" i="4"/>
  <c r="AL106" i="4" s="1"/>
  <c r="S135" i="4"/>
  <c r="AL135" i="4" s="1"/>
  <c r="S70" i="4"/>
  <c r="AL70" i="4" s="1"/>
  <c r="S111" i="4"/>
  <c r="AL111" i="4" s="1"/>
  <c r="S115" i="4"/>
  <c r="AL115" i="4" s="1"/>
  <c r="S81" i="4"/>
  <c r="AL81" i="4" s="1"/>
  <c r="S13" i="4"/>
  <c r="AL13" i="4" s="1"/>
  <c r="S151" i="4"/>
  <c r="AL151" i="4" s="1"/>
  <c r="S146" i="4"/>
  <c r="AL146" i="4" s="1"/>
  <c r="S42" i="4"/>
  <c r="AL42" i="4" s="1"/>
  <c r="S144" i="4"/>
  <c r="AL144" i="4" s="1"/>
  <c r="S11" i="4"/>
  <c r="AL11" i="4" s="1"/>
  <c r="S16" i="4"/>
  <c r="AL16" i="4" s="1"/>
  <c r="S24" i="4"/>
  <c r="AL24" i="4" s="1"/>
  <c r="S32" i="4"/>
  <c r="AL32" i="4" s="1"/>
  <c r="S40" i="4"/>
  <c r="AL40" i="4" s="1"/>
  <c r="S48" i="4"/>
  <c r="AL48" i="4" s="1"/>
  <c r="S56" i="4"/>
  <c r="AL56" i="4" s="1"/>
  <c r="S99" i="4"/>
  <c r="AL99" i="4" s="1"/>
  <c r="S86" i="4"/>
  <c r="AL86" i="4" s="1"/>
  <c r="S128" i="4"/>
  <c r="AL128" i="4" s="1"/>
  <c r="S80" i="4"/>
  <c r="AL80" i="4" s="1"/>
  <c r="S112" i="4"/>
  <c r="AL112" i="4" s="1"/>
  <c r="S139" i="4"/>
  <c r="AL139" i="4" s="1"/>
  <c r="S75" i="4"/>
  <c r="AL75" i="4" s="1"/>
  <c r="S129" i="4"/>
  <c r="AL129" i="4" s="1"/>
  <c r="S127" i="4"/>
  <c r="AL127" i="4" s="1"/>
  <c r="S97" i="4"/>
  <c r="AL97" i="4" s="1"/>
  <c r="S14" i="4"/>
  <c r="AL14" i="4" s="1"/>
  <c r="S154" i="4"/>
  <c r="AL154" i="4" s="1"/>
  <c r="S150" i="4"/>
  <c r="AL150" i="4" s="1"/>
  <c r="S17" i="4"/>
  <c r="AL17" i="4" s="1"/>
  <c r="S25" i="4"/>
  <c r="AL25" i="4" s="1"/>
  <c r="S33" i="4"/>
  <c r="AL33" i="4" s="1"/>
  <c r="S41" i="4"/>
  <c r="AL41" i="4" s="1"/>
  <c r="S49" i="4"/>
  <c r="AL49" i="4" s="1"/>
  <c r="S57" i="4"/>
  <c r="AL57" i="4" s="1"/>
  <c r="S120" i="4"/>
  <c r="AL120" i="4" s="1"/>
  <c r="S90" i="4"/>
  <c r="AL90" i="4" s="1"/>
  <c r="S137" i="4"/>
  <c r="AL137" i="4" s="1"/>
  <c r="S84" i="4"/>
  <c r="V84" i="4" s="1"/>
  <c r="S121" i="4"/>
  <c r="AL121" i="4" s="1"/>
  <c r="S140" i="4"/>
  <c r="V140" i="4" s="1"/>
  <c r="S79" i="4"/>
  <c r="S131" i="4"/>
  <c r="AL131" i="4" s="1"/>
  <c r="S136" i="4"/>
  <c r="AL136" i="4" s="1"/>
  <c r="S114" i="4"/>
  <c r="AL114" i="4" s="1"/>
  <c r="S85" i="4"/>
  <c r="AL85" i="4" s="1"/>
  <c r="S12" i="4"/>
  <c r="AL12" i="4" s="1"/>
  <c r="S157" i="4"/>
  <c r="V157" i="4" s="1"/>
  <c r="S34" i="4"/>
  <c r="S59" i="4"/>
  <c r="S142" i="4"/>
  <c r="AL142" i="4" s="1"/>
  <c r="W546" i="5"/>
  <c r="Y546" i="5" s="1"/>
  <c r="W424" i="5"/>
  <c r="X424" i="5" s="1"/>
  <c r="W448" i="5"/>
  <c r="X448" i="5" s="1"/>
  <c r="W496" i="5"/>
  <c r="Y496" i="5" s="1"/>
  <c r="W320" i="5"/>
  <c r="X320" i="5" s="1"/>
  <c r="W344" i="5"/>
  <c r="Y344" i="5" s="1"/>
  <c r="W368" i="5"/>
  <c r="Y368" i="5" s="1"/>
  <c r="W312" i="5"/>
  <c r="X312" i="5" s="1"/>
  <c r="W48" i="5"/>
  <c r="X48" i="5" s="1"/>
  <c r="W96" i="5"/>
  <c r="Y96" i="5" s="1"/>
  <c r="W553" i="5"/>
  <c r="Y553" i="5" s="1"/>
  <c r="W220" i="5"/>
  <c r="X220" i="5" s="1"/>
  <c r="W89" i="5"/>
  <c r="Y89" i="5" s="1"/>
  <c r="W218" i="5"/>
  <c r="Y218" i="5" s="1"/>
  <c r="W324" i="5"/>
  <c r="Y324" i="5" s="1"/>
  <c r="W390" i="5"/>
  <c r="Y390" i="5" s="1"/>
  <c r="W425" i="5"/>
  <c r="X425" i="5" s="1"/>
  <c r="W361" i="5"/>
  <c r="X361" i="5" s="1"/>
  <c r="W362" i="5"/>
  <c r="X362" i="5" s="1"/>
  <c r="W67" i="5"/>
  <c r="X67" i="5" s="1"/>
  <c r="W105" i="5"/>
  <c r="X105" i="5" s="1"/>
  <c r="W503" i="5"/>
  <c r="X503" i="5" s="1"/>
  <c r="W494" i="5"/>
  <c r="X494" i="5" s="1"/>
  <c r="W58" i="5"/>
  <c r="Y58" i="5" s="1"/>
  <c r="W552" i="5"/>
  <c r="Y552" i="5" s="1"/>
  <c r="W332" i="5"/>
  <c r="X332" i="5" s="1"/>
  <c r="W93" i="5"/>
  <c r="X93" i="5" s="1"/>
  <c r="W476" i="5"/>
  <c r="Y476" i="5" s="1"/>
  <c r="W478" i="5"/>
  <c r="Y478" i="5" s="1"/>
  <c r="W164" i="5"/>
  <c r="Y164" i="5" s="1"/>
  <c r="W474" i="5"/>
  <c r="Y474" i="5" s="1"/>
  <c r="W273" i="5"/>
  <c r="Y273" i="5" s="1"/>
  <c r="W244" i="5"/>
  <c r="Y244" i="5" s="1"/>
  <c r="W129" i="5"/>
  <c r="Y129" i="5" s="1"/>
  <c r="W163" i="5"/>
  <c r="X163" i="5" s="1"/>
  <c r="W167" i="5"/>
  <c r="W318" i="5"/>
  <c r="X318" i="5" s="1"/>
  <c r="W310" i="5"/>
  <c r="Y310" i="5" s="1"/>
  <c r="W44" i="5"/>
  <c r="Y44" i="5" s="1"/>
  <c r="W233" i="5"/>
  <c r="X233" i="5" s="1"/>
  <c r="W36" i="5"/>
  <c r="Y36" i="5" s="1"/>
  <c r="W82" i="5"/>
  <c r="X82" i="5" s="1"/>
  <c r="W428" i="5"/>
  <c r="Y428" i="5" s="1"/>
  <c r="W471" i="5"/>
  <c r="Y471" i="5" s="1"/>
  <c r="W21" i="5"/>
  <c r="Y21" i="5" s="1"/>
  <c r="W559" i="5"/>
  <c r="Y559" i="5" s="1"/>
  <c r="W410" i="5"/>
  <c r="X410" i="5" s="1"/>
  <c r="W222" i="5"/>
  <c r="Y222" i="5" s="1"/>
  <c r="W254" i="5"/>
  <c r="Y254" i="5" s="1"/>
  <c r="W130" i="5"/>
  <c r="X130" i="5" s="1"/>
  <c r="W235" i="5"/>
  <c r="W377" i="5"/>
  <c r="W461" i="5"/>
  <c r="W207" i="5"/>
  <c r="Y207" i="5" s="1"/>
  <c r="W408" i="5"/>
  <c r="X408" i="5" s="1"/>
  <c r="W47" i="5"/>
  <c r="W77" i="5"/>
  <c r="X77" i="5" s="1"/>
  <c r="W307" i="5"/>
  <c r="W445" i="5"/>
  <c r="Y445" i="5" s="1"/>
  <c r="W429" i="5"/>
  <c r="X429" i="5" s="1"/>
  <c r="W185" i="5"/>
  <c r="X185" i="5" s="1"/>
  <c r="W423" i="5"/>
  <c r="X423" i="5" s="1"/>
  <c r="W442" i="5"/>
  <c r="Y442" i="5" s="1"/>
  <c r="W248" i="5"/>
  <c r="Y248" i="5" s="1"/>
  <c r="W456" i="5"/>
  <c r="W504" i="5"/>
  <c r="Y504" i="5" s="1"/>
  <c r="W376" i="5"/>
  <c r="X376" i="5" s="1"/>
  <c r="W400" i="5"/>
  <c r="Y400" i="5" s="1"/>
  <c r="W224" i="5"/>
  <c r="Y224" i="5" s="1"/>
  <c r="W256" i="5"/>
  <c r="Y256" i="5" s="1"/>
  <c r="W288" i="5"/>
  <c r="X288" i="5" s="1"/>
  <c r="W120" i="5"/>
  <c r="X120" i="5" s="1"/>
  <c r="W56" i="5"/>
  <c r="W104" i="5"/>
  <c r="Y104" i="5" s="1"/>
  <c r="W148" i="5"/>
  <c r="X148" i="5" s="1"/>
  <c r="W491" i="5"/>
  <c r="Y491" i="5" s="1"/>
  <c r="W322" i="5"/>
  <c r="Y322" i="5" s="1"/>
  <c r="W114" i="5"/>
  <c r="Y114" i="5" s="1"/>
  <c r="W347" i="5"/>
  <c r="Y347" i="5" s="1"/>
  <c r="W378" i="5"/>
  <c r="X378" i="5" s="1"/>
  <c r="W528" i="5"/>
  <c r="Y528" i="5" s="1"/>
  <c r="W508" i="5"/>
  <c r="Y508" i="5" s="1"/>
  <c r="W327" i="5"/>
  <c r="Y327" i="5" s="1"/>
  <c r="W271" i="5"/>
  <c r="X271" i="5" s="1"/>
  <c r="W37" i="5"/>
  <c r="X37" i="5" s="1"/>
  <c r="W356" i="5"/>
  <c r="X356" i="5" s="1"/>
  <c r="W409" i="5"/>
  <c r="Y409" i="5" s="1"/>
  <c r="W530" i="5"/>
  <c r="X530" i="5" s="1"/>
  <c r="W269" i="5"/>
  <c r="W206" i="5"/>
  <c r="Y206" i="5" s="1"/>
  <c r="W20" i="5"/>
  <c r="X20" i="5" s="1"/>
  <c r="W300" i="5"/>
  <c r="Y300" i="5" s="1"/>
  <c r="W393" i="5"/>
  <c r="Y393" i="5" s="1"/>
  <c r="W34" i="5"/>
  <c r="Y34" i="5" s="1"/>
  <c r="W391" i="5"/>
  <c r="X391" i="5" s="1"/>
  <c r="W373" i="5"/>
  <c r="W145" i="5"/>
  <c r="X145" i="5" s="1"/>
  <c r="W178" i="5"/>
  <c r="Y178" i="5" s="1"/>
  <c r="W458" i="5"/>
  <c r="X458" i="5" s="1"/>
  <c r="W511" i="5"/>
  <c r="Y511" i="5" s="1"/>
  <c r="W134" i="5"/>
  <c r="X134" i="5" s="1"/>
  <c r="W236" i="5"/>
  <c r="X236" i="5" s="1"/>
  <c r="W411" i="5"/>
  <c r="X411" i="5" s="1"/>
  <c r="W278" i="5"/>
  <c r="Y278" i="5" s="1"/>
  <c r="W311" i="5"/>
  <c r="Y311" i="5" s="1"/>
  <c r="W39" i="5"/>
  <c r="X39" i="5" s="1"/>
  <c r="W261" i="5"/>
  <c r="Y261" i="5" s="1"/>
  <c r="W473" i="5"/>
  <c r="X473" i="5" s="1"/>
  <c r="W475" i="5"/>
  <c r="Y475" i="5" s="1"/>
  <c r="W430" i="5"/>
  <c r="X430" i="5" s="1"/>
  <c r="W45" i="5"/>
  <c r="X45" i="5" s="1"/>
  <c r="W174" i="5"/>
  <c r="Y174" i="5" s="1"/>
  <c r="W195" i="5"/>
  <c r="Y195" i="5" s="1"/>
  <c r="W505" i="5"/>
  <c r="Y505" i="5" s="1"/>
  <c r="W69" i="5"/>
  <c r="X69" i="5" s="1"/>
  <c r="W172" i="5"/>
  <c r="X172" i="5" s="1"/>
  <c r="W297" i="5"/>
  <c r="X297" i="5" s="1"/>
  <c r="W523" i="5"/>
  <c r="X523" i="5" s="1"/>
  <c r="W257" i="5"/>
  <c r="Y257" i="5" s="1"/>
  <c r="W258" i="5"/>
  <c r="Y258" i="5" s="1"/>
  <c r="W53" i="5"/>
  <c r="X53" i="5" s="1"/>
  <c r="W406" i="5"/>
  <c r="Y406" i="5" s="1"/>
  <c r="W213" i="5"/>
  <c r="X213" i="5" s="1"/>
  <c r="W460" i="5"/>
  <c r="X460" i="5" s="1"/>
  <c r="W46" i="5"/>
  <c r="X46" i="5" s="1"/>
  <c r="W268" i="5"/>
  <c r="X268" i="5" s="1"/>
  <c r="B40" i="5"/>
  <c r="W32" i="5"/>
  <c r="Y32" i="5" s="1"/>
  <c r="W432" i="5"/>
  <c r="Y432" i="5" s="1"/>
  <c r="W480" i="5"/>
  <c r="X480" i="5" s="1"/>
  <c r="W328" i="5"/>
  <c r="Y328" i="5" s="1"/>
  <c r="W144" i="5"/>
  <c r="X144" i="5" s="1"/>
  <c r="W200" i="5"/>
  <c r="Y200" i="5" s="1"/>
  <c r="W522" i="5"/>
  <c r="Y522" i="5" s="1"/>
  <c r="W283" i="5"/>
  <c r="Y283" i="5" s="1"/>
  <c r="W326" i="5"/>
  <c r="X326" i="5" s="1"/>
  <c r="W111" i="5"/>
  <c r="Y111" i="5" s="1"/>
  <c r="W149" i="5"/>
  <c r="Y149" i="5" s="1"/>
  <c r="W396" i="5"/>
  <c r="X396" i="5" s="1"/>
  <c r="W518" i="5"/>
  <c r="Y518" i="5" s="1"/>
  <c r="W294" i="5"/>
  <c r="X294" i="5" s="1"/>
  <c r="W306" i="5"/>
  <c r="Y306" i="5" s="1"/>
  <c r="W81" i="5"/>
  <c r="X81" i="5" s="1"/>
  <c r="W289" i="5"/>
  <c r="X289" i="5" s="1"/>
  <c r="W367" i="5"/>
  <c r="Y367" i="5" s="1"/>
  <c r="W401" i="5"/>
  <c r="X401" i="5" s="1"/>
  <c r="W292" i="5"/>
  <c r="Y292" i="5" s="1"/>
  <c r="W415" i="5"/>
  <c r="X415" i="5" s="1"/>
  <c r="W91" i="5"/>
  <c r="Y91" i="5" s="1"/>
  <c r="W265" i="5"/>
  <c r="X265" i="5" s="1"/>
  <c r="W346" i="5"/>
  <c r="X346" i="5" s="1"/>
  <c r="W387" i="5"/>
  <c r="Y387" i="5" s="1"/>
  <c r="W308" i="5"/>
  <c r="X308" i="5" s="1"/>
  <c r="W190" i="5"/>
  <c r="X190" i="5" s="1"/>
  <c r="W109" i="5"/>
  <c r="X109" i="5" s="1"/>
  <c r="W117" i="5"/>
  <c r="Y117" i="5" s="1"/>
  <c r="W443" i="5"/>
  <c r="X443" i="5" s="1"/>
  <c r="W483" i="5"/>
  <c r="Y483" i="5" s="1"/>
  <c r="W49" i="5"/>
  <c r="W459" i="5"/>
  <c r="W285" i="5"/>
  <c r="W242" i="5"/>
  <c r="X242" i="5" s="1"/>
  <c r="W263" i="5"/>
  <c r="Y263" i="5" s="1"/>
  <c r="W95" i="5"/>
  <c r="Y95" i="5" s="1"/>
  <c r="W298" i="5"/>
  <c r="Y298" i="5" s="1"/>
  <c r="W371" i="5"/>
  <c r="X371" i="5" s="1"/>
  <c r="W97" i="5"/>
  <c r="X97" i="5" s="1"/>
  <c r="W253" i="5"/>
  <c r="X253" i="5" s="1"/>
  <c r="W214" i="5"/>
  <c r="X214" i="5" s="1"/>
  <c r="W113" i="5"/>
  <c r="W166" i="5"/>
  <c r="Y166" i="5" s="1"/>
  <c r="W389" i="5"/>
  <c r="X389" i="5" s="1"/>
  <c r="W468" i="5"/>
  <c r="Y468" i="5" s="1"/>
  <c r="W115" i="5"/>
  <c r="X115" i="5" s="1"/>
  <c r="W520" i="5"/>
  <c r="X520" i="5" s="1"/>
  <c r="W506" i="5"/>
  <c r="X506" i="5" s="1"/>
  <c r="W193" i="5"/>
  <c r="W221" i="5"/>
  <c r="X221" i="5" s="1"/>
  <c r="W108" i="5"/>
  <c r="Y108" i="5" s="1"/>
  <c r="W313" i="5"/>
  <c r="Y313" i="5" s="1"/>
  <c r="W226" i="5"/>
  <c r="Y226" i="5" s="1"/>
  <c r="W479" i="5"/>
  <c r="W50" i="5"/>
  <c r="W275" i="5"/>
  <c r="Y275" i="5" s="1"/>
  <c r="W342" i="5"/>
  <c r="X342" i="5" s="1"/>
  <c r="W352" i="5"/>
  <c r="X352" i="5" s="1"/>
  <c r="W534" i="5"/>
  <c r="Y534" i="5" s="1"/>
  <c r="W264" i="5"/>
  <c r="X264" i="5" s="1"/>
  <c r="W176" i="5"/>
  <c r="X176" i="5" s="1"/>
  <c r="W64" i="5"/>
  <c r="Y64" i="5" s="1"/>
  <c r="W112" i="5"/>
  <c r="W537" i="5"/>
  <c r="Y537" i="5" s="1"/>
  <c r="W126" i="5"/>
  <c r="X126" i="5" s="1"/>
  <c r="W544" i="5"/>
  <c r="X544" i="5" s="1"/>
  <c r="W107" i="5"/>
  <c r="X107" i="5" s="1"/>
  <c r="W314" i="5"/>
  <c r="X314" i="5" s="1"/>
  <c r="W338" i="5"/>
  <c r="Y338" i="5" s="1"/>
  <c r="W170" i="5"/>
  <c r="Y170" i="5" s="1"/>
  <c r="W201" i="5"/>
  <c r="Y201" i="5" s="1"/>
  <c r="W198" i="5"/>
  <c r="Y198" i="5" s="1"/>
  <c r="W286" i="5"/>
  <c r="X286" i="5" s="1"/>
  <c r="W140" i="5"/>
  <c r="Y140" i="5" s="1"/>
  <c r="W196" i="5"/>
  <c r="X196" i="5" s="1"/>
  <c r="W302" i="5"/>
  <c r="Y302" i="5" s="1"/>
  <c r="W431" i="5"/>
  <c r="Y431" i="5" s="1"/>
  <c r="W76" i="5"/>
  <c r="X76" i="5" s="1"/>
  <c r="W59" i="5"/>
  <c r="X59" i="5" s="1"/>
  <c r="W179" i="5"/>
  <c r="X179" i="5" s="1"/>
  <c r="W231" i="5"/>
  <c r="Y231" i="5" s="1"/>
  <c r="W251" i="5"/>
  <c r="X251" i="5" s="1"/>
  <c r="W498" i="5"/>
  <c r="Y498" i="5" s="1"/>
  <c r="W43" i="5"/>
  <c r="Y43" i="5" s="1"/>
  <c r="W303" i="5"/>
  <c r="Y303" i="5" s="1"/>
  <c r="W54" i="5"/>
  <c r="X54" i="5" s="1"/>
  <c r="W84" i="5"/>
  <c r="X84" i="5" s="1"/>
  <c r="W465" i="5"/>
  <c r="Y465" i="5" s="1"/>
  <c r="W450" i="5"/>
  <c r="X450" i="5" s="1"/>
  <c r="W246" i="5"/>
  <c r="X246" i="5" s="1"/>
  <c r="W539" i="5"/>
  <c r="X539" i="5" s="1"/>
  <c r="W329" i="5"/>
  <c r="Y329" i="5" s="1"/>
  <c r="W228" i="5"/>
  <c r="Y228" i="5" s="1"/>
  <c r="W232" i="5"/>
  <c r="Y232" i="5" s="1"/>
  <c r="W191" i="5"/>
  <c r="Y191" i="5" s="1"/>
  <c r="W287" i="5"/>
  <c r="X287" i="5" s="1"/>
  <c r="W412" i="5"/>
  <c r="Y412" i="5" s="1"/>
  <c r="W407" i="5"/>
  <c r="X407" i="5" s="1"/>
  <c r="W309" i="5"/>
  <c r="Y309" i="5" s="1"/>
  <c r="W525" i="5"/>
  <c r="Y525" i="5" s="1"/>
  <c r="W63" i="5"/>
  <c r="X63" i="5" s="1"/>
  <c r="W121" i="5"/>
  <c r="X121" i="5" s="1"/>
  <c r="W402" i="5"/>
  <c r="X402" i="5" s="1"/>
  <c r="W433" i="5"/>
  <c r="X433" i="5" s="1"/>
  <c r="W35" i="5"/>
  <c r="X35" i="5" s="1"/>
  <c r="W560" i="5"/>
  <c r="Y560" i="5" s="1"/>
  <c r="W381" i="5"/>
  <c r="X381" i="5" s="1"/>
  <c r="W187" i="5"/>
  <c r="X187" i="5" s="1"/>
  <c r="W245" i="5"/>
  <c r="X245" i="5" s="1"/>
  <c r="W241" i="5"/>
  <c r="X241" i="5" s="1"/>
  <c r="W238" i="5"/>
  <c r="X238" i="5" s="1"/>
  <c r="W119" i="5"/>
  <c r="X119" i="5" s="1"/>
  <c r="W276" i="5"/>
  <c r="Y276" i="5" s="1"/>
  <c r="W141" i="5"/>
  <c r="X141" i="5" s="1"/>
  <c r="W414" i="5"/>
  <c r="Y414" i="5" s="1"/>
  <c r="W208" i="5"/>
  <c r="X208" i="5" s="1"/>
  <c r="W538" i="5"/>
  <c r="Y538" i="5" s="1"/>
  <c r="W440" i="5"/>
  <c r="X440" i="5" s="1"/>
  <c r="W464" i="5"/>
  <c r="X464" i="5" s="1"/>
  <c r="W336" i="5"/>
  <c r="X336" i="5" s="1"/>
  <c r="W384" i="5"/>
  <c r="X384" i="5" s="1"/>
  <c r="W296" i="5"/>
  <c r="X296" i="5" s="1"/>
  <c r="W128" i="5"/>
  <c r="Y128" i="5" s="1"/>
  <c r="W40" i="5"/>
  <c r="Y40" i="5" s="1"/>
  <c r="W88" i="5"/>
  <c r="Y88" i="5" s="1"/>
  <c r="W79" i="5"/>
  <c r="Y79" i="5" s="1"/>
  <c r="W543" i="5"/>
  <c r="X543" i="5" s="1"/>
  <c r="W355" i="5"/>
  <c r="Y355" i="5" s="1"/>
  <c r="W444" i="5"/>
  <c r="X444" i="5" s="1"/>
  <c r="W153" i="5"/>
  <c r="X153" i="5" s="1"/>
  <c r="W25" i="5"/>
  <c r="Y25" i="5" s="1"/>
  <c r="W38" i="5"/>
  <c r="X38" i="5" s="1"/>
  <c r="W165" i="5"/>
  <c r="Y165" i="5" s="1"/>
  <c r="W175" i="5"/>
  <c r="X175" i="5" s="1"/>
  <c r="W542" i="5"/>
  <c r="X542" i="5" s="1"/>
  <c r="W143" i="5"/>
  <c r="X143" i="5" s="1"/>
  <c r="W225" i="5"/>
  <c r="X225" i="5" s="1"/>
  <c r="W99" i="5"/>
  <c r="X99" i="5" s="1"/>
  <c r="W500" i="5"/>
  <c r="X500" i="5" s="1"/>
  <c r="W247" i="5"/>
  <c r="Y247" i="5" s="1"/>
  <c r="W532" i="5"/>
  <c r="Y532" i="5" s="1"/>
  <c r="W92" i="5"/>
  <c r="X92" i="5" s="1"/>
  <c r="W229" i="5"/>
  <c r="Y229" i="5" s="1"/>
  <c r="W123" i="5"/>
  <c r="Y123" i="5" s="1"/>
  <c r="W457" i="5"/>
  <c r="Y457" i="5" s="1"/>
  <c r="W359" i="5"/>
  <c r="X359" i="5" s="1"/>
  <c r="W350" i="5"/>
  <c r="X350" i="5" s="1"/>
  <c r="W52" i="5"/>
  <c r="Y52" i="5" s="1"/>
  <c r="W349" i="5"/>
  <c r="Y349" i="5" s="1"/>
  <c r="W487" i="5"/>
  <c r="X487" i="5" s="1"/>
  <c r="W466" i="5"/>
  <c r="Y466" i="5" s="1"/>
  <c r="W469" i="5"/>
  <c r="X469" i="5" s="1"/>
  <c r="W94" i="5"/>
  <c r="Y94" i="5" s="1"/>
  <c r="W173" i="5"/>
  <c r="X173" i="5" s="1"/>
  <c r="W219" i="5"/>
  <c r="X219" i="5" s="1"/>
  <c r="W23" i="5"/>
  <c r="Y23" i="5" s="1"/>
  <c r="W169" i="5"/>
  <c r="X169" i="5" s="1"/>
  <c r="W279" i="5"/>
  <c r="X279" i="5" s="1"/>
  <c r="W486" i="5"/>
  <c r="X486" i="5" s="1"/>
  <c r="W19" i="5"/>
  <c r="Y19" i="5" s="1"/>
  <c r="W419" i="5"/>
  <c r="X419" i="5" s="1"/>
  <c r="W61" i="5"/>
  <c r="Y61" i="5" s="1"/>
  <c r="W90" i="5"/>
  <c r="X90" i="5" s="1"/>
  <c r="W426" i="5"/>
  <c r="Y426" i="5" s="1"/>
  <c r="W417" i="5"/>
  <c r="X417" i="5" s="1"/>
  <c r="W252" i="5"/>
  <c r="X252" i="5" s="1"/>
  <c r="W462" i="5"/>
  <c r="Y462" i="5" s="1"/>
  <c r="W211" i="5"/>
  <c r="X211" i="5" s="1"/>
  <c r="W162" i="5"/>
  <c r="X162" i="5" s="1"/>
  <c r="W205" i="5"/>
  <c r="W548" i="5"/>
  <c r="Y548" i="5" s="1"/>
  <c r="W147" i="5"/>
  <c r="W388" i="5"/>
  <c r="Y388" i="5" s="1"/>
  <c r="W249" i="5"/>
  <c r="Y249" i="5" s="1"/>
  <c r="W397" i="5"/>
  <c r="X397" i="5" s="1"/>
  <c r="W556" i="5"/>
  <c r="X556" i="5" s="1"/>
  <c r="W527" i="5"/>
  <c r="X527" i="5" s="1"/>
  <c r="W152" i="5"/>
  <c r="X152" i="5" s="1"/>
  <c r="W280" i="5"/>
  <c r="Y280" i="5" s="1"/>
  <c r="W488" i="5"/>
  <c r="Y488" i="5" s="1"/>
  <c r="W512" i="5"/>
  <c r="Y512" i="5" s="1"/>
  <c r="W360" i="5"/>
  <c r="X360" i="5" s="1"/>
  <c r="W416" i="5"/>
  <c r="X416" i="5" s="1"/>
  <c r="W240" i="5"/>
  <c r="Y240" i="5" s="1"/>
  <c r="W304" i="5"/>
  <c r="Y304" i="5" s="1"/>
  <c r="W8" i="5"/>
  <c r="X8" i="5" s="1"/>
  <c r="W317" i="5"/>
  <c r="X317" i="5" s="1"/>
  <c r="W30" i="5"/>
  <c r="X30" i="5" s="1"/>
  <c r="W277" i="5"/>
  <c r="X277" i="5" s="1"/>
  <c r="W385" i="5"/>
  <c r="X385" i="5" s="1"/>
  <c r="W150" i="5"/>
  <c r="X150" i="5" s="1"/>
  <c r="W250" i="5"/>
  <c r="X250" i="5" s="1"/>
  <c r="W142" i="5"/>
  <c r="X142" i="5" s="1"/>
  <c r="W182" i="5"/>
  <c r="X182" i="5" s="1"/>
  <c r="W133" i="5"/>
  <c r="Y133" i="5" s="1"/>
  <c r="W151" i="5"/>
  <c r="Y151" i="5" s="1"/>
  <c r="W519" i="5"/>
  <c r="Y519" i="5" s="1"/>
  <c r="W477" i="5"/>
  <c r="Y477" i="5" s="1"/>
  <c r="W171" i="5"/>
  <c r="W398" i="5"/>
  <c r="Y398" i="5" s="1"/>
  <c r="W489" i="5"/>
  <c r="W124" i="5"/>
  <c r="Y124" i="5" s="1"/>
  <c r="W485" i="5"/>
  <c r="X485" i="5" s="1"/>
  <c r="W541" i="5"/>
  <c r="Y541" i="5" s="1"/>
  <c r="W137" i="5"/>
  <c r="Y137" i="5" s="1"/>
  <c r="W354" i="5"/>
  <c r="Y354" i="5" s="1"/>
  <c r="W447" i="5"/>
  <c r="Y447" i="5" s="1"/>
  <c r="W295" i="5"/>
  <c r="Y295" i="5" s="1"/>
  <c r="W325" i="5"/>
  <c r="W33" i="5"/>
  <c r="X33" i="5" s="1"/>
  <c r="W357" i="5"/>
  <c r="X357" i="5" s="1"/>
  <c r="W380" i="5"/>
  <c r="X380" i="5" s="1"/>
  <c r="W85" i="5"/>
  <c r="Y85" i="5" s="1"/>
  <c r="W369" i="5"/>
  <c r="X369" i="5" s="1"/>
  <c r="W524" i="5"/>
  <c r="X524" i="5" s="1"/>
  <c r="W127" i="5"/>
  <c r="W180" i="5"/>
  <c r="X180" i="5" s="1"/>
  <c r="W547" i="5"/>
  <c r="W22" i="5"/>
  <c r="X22" i="5" s="1"/>
  <c r="W209" i="5"/>
  <c r="X209" i="5" s="1"/>
  <c r="W223" i="5"/>
  <c r="Y223" i="5" s="1"/>
  <c r="W558" i="5"/>
  <c r="X558" i="5" s="1"/>
  <c r="W316" i="5"/>
  <c r="Y316" i="5" s="1"/>
  <c r="W413" i="5"/>
  <c r="Y413" i="5" s="1"/>
  <c r="W57" i="5"/>
  <c r="X57" i="5" s="1"/>
  <c r="W421" i="5"/>
  <c r="X421" i="5" s="1"/>
  <c r="W463" i="5"/>
  <c r="X463" i="5" s="1"/>
  <c r="W540" i="5"/>
  <c r="Y540" i="5" s="1"/>
  <c r="W353" i="5"/>
  <c r="X353" i="5" s="1"/>
  <c r="W337" i="5"/>
  <c r="X337" i="5" s="1"/>
  <c r="W157" i="5"/>
  <c r="X157" i="5" s="1"/>
  <c r="W156" i="5"/>
  <c r="Y156" i="5" s="1"/>
  <c r="W437" i="5"/>
  <c r="X437" i="5" s="1"/>
  <c r="W31" i="5"/>
  <c r="Y31" i="5" s="1"/>
  <c r="W452" i="5"/>
  <c r="W234" i="5"/>
  <c r="Y234" i="5" s="1"/>
  <c r="W266" i="5"/>
  <c r="W370" i="5"/>
  <c r="W230" i="5"/>
  <c r="U69" i="4"/>
  <c r="AQ134" i="4"/>
  <c r="W383" i="5"/>
  <c r="X383" i="5" s="1"/>
  <c r="O9" i="5"/>
  <c r="W533" i="5"/>
  <c r="Y533" i="5" s="1"/>
  <c r="W395" i="5"/>
  <c r="Y395" i="5" s="1"/>
  <c r="W199" i="5"/>
  <c r="X199" i="5" s="1"/>
  <c r="W215" i="5"/>
  <c r="Y215" i="5" s="1"/>
  <c r="W493" i="5"/>
  <c r="X493" i="5" s="1"/>
  <c r="W116" i="5"/>
  <c r="X116" i="5" s="1"/>
  <c r="W315" i="5"/>
  <c r="W345" i="5"/>
  <c r="W404" i="5"/>
  <c r="W499" i="5"/>
  <c r="AQ141" i="4"/>
  <c r="U45" i="4"/>
  <c r="W363" i="5"/>
  <c r="W364" i="5"/>
  <c r="X364" i="5" s="1"/>
  <c r="W545" i="5"/>
  <c r="X545" i="5" s="1"/>
  <c r="W194" i="5"/>
  <c r="Y194" i="5" s="1"/>
  <c r="W131" i="5"/>
  <c r="X131" i="5" s="1"/>
  <c r="W188" i="5"/>
  <c r="X188" i="5" s="1"/>
  <c r="W555" i="5"/>
  <c r="X555" i="5" s="1"/>
  <c r="W41" i="5"/>
  <c r="X41" i="5" s="1"/>
  <c r="W202" i="5"/>
  <c r="Y202" i="5" s="1"/>
  <c r="W502" i="5"/>
  <c r="X502" i="5" s="1"/>
  <c r="W455" i="5"/>
  <c r="Y455" i="5" s="1"/>
  <c r="W514" i="5"/>
  <c r="X514" i="5" s="1"/>
  <c r="W495" i="5"/>
  <c r="Y495" i="5" s="1"/>
  <c r="W484" i="5"/>
  <c r="X484" i="5" s="1"/>
  <c r="W138" i="5"/>
  <c r="Y138" i="5" s="1"/>
  <c r="W155" i="5"/>
  <c r="Y155" i="5" s="1"/>
  <c r="W513" i="5"/>
  <c r="X513" i="5" s="1"/>
  <c r="W550" i="5"/>
  <c r="Y550" i="5" s="1"/>
  <c r="W87" i="5"/>
  <c r="X87" i="5" s="1"/>
  <c r="W482" i="5"/>
  <c r="Y482" i="5" s="1"/>
  <c r="W335" i="5"/>
  <c r="Y335" i="5" s="1"/>
  <c r="W427" i="5"/>
  <c r="AQ73" i="4"/>
  <c r="W420" i="5"/>
  <c r="Y420" i="5" s="1"/>
  <c r="W203" i="5"/>
  <c r="Y203" i="5" s="1"/>
  <c r="W434" i="5"/>
  <c r="Y434" i="5" s="1"/>
  <c r="W339" i="5"/>
  <c r="X339" i="5" s="1"/>
  <c r="W83" i="5"/>
  <c r="X83" i="5" s="1"/>
  <c r="W146" i="5"/>
  <c r="Y146" i="5" s="1"/>
  <c r="W529" i="5"/>
  <c r="X529" i="5" s="1"/>
  <c r="W284" i="5"/>
  <c r="X284" i="5" s="1"/>
  <c r="W186" i="5"/>
  <c r="X186" i="5" s="1"/>
  <c r="W516" i="5"/>
  <c r="Y516" i="5" s="1"/>
  <c r="W103" i="5"/>
  <c r="W73" i="5"/>
  <c r="Y73" i="5" s="1"/>
  <c r="W509" i="5"/>
  <c r="Y509" i="5" s="1"/>
  <c r="W227" i="5"/>
  <c r="Y227" i="5" s="1"/>
  <c r="W374" i="5"/>
  <c r="W42" i="5"/>
  <c r="X42" i="5" s="1"/>
  <c r="W70" i="5"/>
  <c r="X70" i="5" s="1"/>
  <c r="W418" i="5"/>
  <c r="X418" i="5" s="1"/>
  <c r="W217" i="5"/>
  <c r="X217" i="5" s="1"/>
  <c r="W446" i="5"/>
  <c r="X446" i="5" s="1"/>
  <c r="W470" i="5"/>
  <c r="Y470" i="5" s="1"/>
  <c r="W379" i="5"/>
  <c r="X379" i="5" s="1"/>
  <c r="W118" i="5"/>
  <c r="K36" i="5"/>
  <c r="K37" i="5" s="1"/>
  <c r="Q47" i="5"/>
  <c r="Q25" i="5"/>
  <c r="Q50" i="5"/>
  <c r="Q54" i="5"/>
  <c r="Q68" i="5"/>
  <c r="Q73" i="5"/>
  <c r="Q86" i="5"/>
  <c r="Q44" i="5"/>
  <c r="Q108" i="5"/>
  <c r="Q137" i="5"/>
  <c r="Q100" i="5"/>
  <c r="Q157" i="5"/>
  <c r="Q124" i="5"/>
  <c r="Q150" i="5"/>
  <c r="Q174" i="5"/>
  <c r="Q175" i="5"/>
  <c r="Q178" i="5"/>
  <c r="Q199" i="5"/>
  <c r="Q107" i="5"/>
  <c r="Q221" i="5"/>
  <c r="Q195" i="5"/>
  <c r="Q226" i="5"/>
  <c r="Q203" i="5"/>
  <c r="Q284" i="5"/>
  <c r="Q323" i="5"/>
  <c r="Q229" i="5"/>
  <c r="Q285" i="5"/>
  <c r="Q310" i="5"/>
  <c r="Q220" i="5"/>
  <c r="Q274" i="5"/>
  <c r="Q297" i="5"/>
  <c r="Q341" i="5"/>
  <c r="Q289" i="5"/>
  <c r="Q372" i="5"/>
  <c r="Q407" i="5"/>
  <c r="Q439" i="5"/>
  <c r="Q308" i="5"/>
  <c r="Q363" i="5"/>
  <c r="Q402" i="5"/>
  <c r="Q327" i="5"/>
  <c r="Q377" i="5"/>
  <c r="Q412" i="5"/>
  <c r="Q387" i="5"/>
  <c r="Q462" i="5"/>
  <c r="Q485" i="5"/>
  <c r="Q523" i="5"/>
  <c r="Q369" i="5"/>
  <c r="Q446" i="5"/>
  <c r="Q486" i="5"/>
  <c r="Q510" i="5"/>
  <c r="Q444" i="5"/>
  <c r="Q494" i="5"/>
  <c r="Q535" i="5"/>
  <c r="Q553" i="5"/>
  <c r="Q498" i="5"/>
  <c r="Q550" i="5"/>
  <c r="Q558" i="5"/>
  <c r="Q544" i="5"/>
  <c r="Q516" i="5"/>
  <c r="Q49" i="5"/>
  <c r="Q29" i="5"/>
  <c r="Q52" i="5"/>
  <c r="Q55" i="5"/>
  <c r="Q69" i="5"/>
  <c r="Q71" i="5"/>
  <c r="Q95" i="5"/>
  <c r="Q82" i="5"/>
  <c r="Q116" i="5"/>
  <c r="Q142" i="5"/>
  <c r="Q114" i="5"/>
  <c r="Q159" i="5"/>
  <c r="Q126" i="5"/>
  <c r="Q155" i="5"/>
  <c r="Q188" i="5"/>
  <c r="Q179" i="5"/>
  <c r="Q182" i="5"/>
  <c r="Q201" i="5"/>
  <c r="Q177" i="5"/>
  <c r="Q225" i="5"/>
  <c r="Q204" i="5"/>
  <c r="Q231" i="5"/>
  <c r="Q213" i="5"/>
  <c r="Q291" i="5"/>
  <c r="Q325" i="5"/>
  <c r="Q247" i="5"/>
  <c r="Q290" i="5"/>
  <c r="Q321" i="5"/>
  <c r="Q223" i="5"/>
  <c r="Q275" i="5"/>
  <c r="Q309" i="5"/>
  <c r="Q346" i="5"/>
  <c r="Q295" i="5"/>
  <c r="Q375" i="5"/>
  <c r="Q409" i="5"/>
  <c r="Q441" i="5"/>
  <c r="Q314" i="5"/>
  <c r="Q365" i="5"/>
  <c r="Q404" i="5"/>
  <c r="Q338" i="5"/>
  <c r="Q394" i="5"/>
  <c r="Q415" i="5"/>
  <c r="Q390" i="5"/>
  <c r="Q463" i="5"/>
  <c r="Q500" i="5"/>
  <c r="Q524" i="5"/>
  <c r="Q410" i="5"/>
  <c r="Q452" i="5"/>
  <c r="Q487" i="5"/>
  <c r="Q514" i="5"/>
  <c r="Q445" i="5"/>
  <c r="Q497" i="5"/>
  <c r="Q536" i="5"/>
  <c r="Q559" i="5"/>
  <c r="Q508" i="5"/>
  <c r="Q364" i="5"/>
  <c r="Q560" i="5"/>
  <c r="Q556" i="5"/>
  <c r="Q531" i="5"/>
  <c r="Q21" i="5"/>
  <c r="Q20" i="5"/>
  <c r="Q30" i="5"/>
  <c r="Q27" i="5"/>
  <c r="Q58" i="5"/>
  <c r="Q65" i="5"/>
  <c r="Q75" i="5"/>
  <c r="Q85" i="5"/>
  <c r="Q94" i="5"/>
  <c r="Q117" i="5"/>
  <c r="Q151" i="5"/>
  <c r="Q125" i="5"/>
  <c r="Q83" i="5"/>
  <c r="Q127" i="5"/>
  <c r="Q156" i="5"/>
  <c r="Q130" i="5"/>
  <c r="Q180" i="5"/>
  <c r="Q202" i="5"/>
  <c r="Q235" i="5"/>
  <c r="Q186" i="5"/>
  <c r="Q228" i="5"/>
  <c r="Q205" i="5"/>
  <c r="Q234" i="5"/>
  <c r="Q227" i="5"/>
  <c r="Q292" i="5"/>
  <c r="Q331" i="5"/>
  <c r="Q253" i="5"/>
  <c r="Q293" i="5"/>
  <c r="Q326" i="5"/>
  <c r="Q239" i="5"/>
  <c r="Q277" i="5"/>
  <c r="Q315" i="5"/>
  <c r="Q348" i="5"/>
  <c r="Q306" i="5"/>
  <c r="Q380" i="5"/>
  <c r="Q411" i="5"/>
  <c r="Q442" i="5"/>
  <c r="Q340" i="5"/>
  <c r="Q373" i="5"/>
  <c r="Q413" i="5"/>
  <c r="Q347" i="5"/>
  <c r="Q395" i="5"/>
  <c r="Q421" i="5"/>
  <c r="Q393" i="5"/>
  <c r="Q468" i="5"/>
  <c r="Q501" i="5"/>
  <c r="Q527" i="5"/>
  <c r="Q420" i="5"/>
  <c r="Q457" i="5"/>
  <c r="Q489" i="5"/>
  <c r="Q520" i="5"/>
  <c r="Q449" i="5"/>
  <c r="Q502" i="5"/>
  <c r="Q537" i="5"/>
  <c r="Q268" i="5"/>
  <c r="Q515" i="5"/>
  <c r="Q430" i="5"/>
  <c r="Q557" i="5"/>
  <c r="Q403" i="5"/>
  <c r="Q539" i="5"/>
  <c r="Q26" i="5"/>
  <c r="Q22" i="5"/>
  <c r="Q33" i="5"/>
  <c r="Q51" i="5"/>
  <c r="Q60" i="5"/>
  <c r="Q70" i="5"/>
  <c r="Q77" i="5"/>
  <c r="Q87" i="5"/>
  <c r="Q103" i="5"/>
  <c r="Q119" i="5"/>
  <c r="Q153" i="5"/>
  <c r="Q138" i="5"/>
  <c r="Q102" i="5"/>
  <c r="Q129" i="5"/>
  <c r="Q92" i="5"/>
  <c r="Q145" i="5"/>
  <c r="Q183" i="5"/>
  <c r="Q207" i="5"/>
  <c r="Q236" i="5"/>
  <c r="Q189" i="5"/>
  <c r="Q230" i="5"/>
  <c r="Q206" i="5"/>
  <c r="Q237" i="5"/>
  <c r="Q246" i="5"/>
  <c r="Q299" i="5"/>
  <c r="Q333" i="5"/>
  <c r="Q255" i="5"/>
  <c r="Q298" i="5"/>
  <c r="Q330" i="5"/>
  <c r="Q243" i="5"/>
  <c r="Q278" i="5"/>
  <c r="Q317" i="5"/>
  <c r="Q350" i="5"/>
  <c r="Q332" i="5"/>
  <c r="Q385" i="5"/>
  <c r="Q418" i="5"/>
  <c r="Q245" i="5"/>
  <c r="Q343" i="5"/>
  <c r="Q379" i="5"/>
  <c r="Q414" i="5"/>
  <c r="Q351" i="5"/>
  <c r="Q397" i="5"/>
  <c r="Q318" i="5"/>
  <c r="Q433" i="5"/>
  <c r="Q471" i="5"/>
  <c r="Q503" i="5"/>
  <c r="Q252" i="5"/>
  <c r="Q422" i="5"/>
  <c r="Q467" i="5"/>
  <c r="Q490" i="5"/>
  <c r="Q197" i="5"/>
  <c r="Q450" i="5"/>
  <c r="Q509" i="5"/>
  <c r="Q541" i="5"/>
  <c r="Q447" i="5"/>
  <c r="Q532" i="5"/>
  <c r="Q443" i="5"/>
  <c r="Q459" i="5"/>
  <c r="Q427" i="5"/>
  <c r="Q540" i="5"/>
  <c r="Q31" i="5"/>
  <c r="Q23" i="5"/>
  <c r="Q35" i="5"/>
  <c r="Q59" i="5"/>
  <c r="Q63" i="5"/>
  <c r="Q74" i="5"/>
  <c r="Q79" i="5"/>
  <c r="Q90" i="5"/>
  <c r="Q106" i="5"/>
  <c r="Q123" i="5"/>
  <c r="Q154" i="5"/>
  <c r="Q140" i="5"/>
  <c r="Q105" i="5"/>
  <c r="Q134" i="5"/>
  <c r="Q115" i="5"/>
  <c r="Q161" i="5"/>
  <c r="Q185" i="5"/>
  <c r="Q181" i="5"/>
  <c r="Q238" i="5"/>
  <c r="Q191" i="5"/>
  <c r="Q233" i="5"/>
  <c r="Q209" i="5"/>
  <c r="Q242" i="5"/>
  <c r="Q258" i="5"/>
  <c r="Q302" i="5"/>
  <c r="Q196" i="5"/>
  <c r="Q259" i="5"/>
  <c r="Q300" i="5"/>
  <c r="Q141" i="5"/>
  <c r="Q260" i="5"/>
  <c r="Q283" i="5"/>
  <c r="Q319" i="5"/>
  <c r="Q357" i="5"/>
  <c r="Q334" i="5"/>
  <c r="Q386" i="5"/>
  <c r="Q423" i="5"/>
  <c r="Q249" i="5"/>
  <c r="Q349" i="5"/>
  <c r="Q382" i="5"/>
  <c r="Q417" i="5"/>
  <c r="Q358" i="5"/>
  <c r="Q398" i="5"/>
  <c r="Q359" i="5"/>
  <c r="Q453" i="5"/>
  <c r="Q473" i="5"/>
  <c r="Q511" i="5"/>
  <c r="Q301" i="5"/>
  <c r="Q425" i="5"/>
  <c r="Q469" i="5"/>
  <c r="Q492" i="5"/>
  <c r="Q342" i="5"/>
  <c r="Q465" i="5"/>
  <c r="Q518" i="5"/>
  <c r="Q542" i="5"/>
  <c r="Q451" i="5"/>
  <c r="Q547" i="5"/>
  <c r="Q460" i="5"/>
  <c r="Q466" i="5"/>
  <c r="Q429" i="5"/>
  <c r="Q19" i="5"/>
  <c r="Q42" i="5"/>
  <c r="Q36" i="5"/>
  <c r="Q41" i="5"/>
  <c r="Q67" i="5"/>
  <c r="Q57" i="5"/>
  <c r="Q81" i="5"/>
  <c r="Q91" i="5"/>
  <c r="Q110" i="5"/>
  <c r="Q89" i="5"/>
  <c r="Q133" i="5"/>
  <c r="Q53" i="5"/>
  <c r="Q146" i="5"/>
  <c r="Q118" i="5"/>
  <c r="Q147" i="5"/>
  <c r="Q163" i="5"/>
  <c r="Q166" i="5"/>
  <c r="Q164" i="5"/>
  <c r="Q193" i="5"/>
  <c r="Q250" i="5"/>
  <c r="Q210" i="5"/>
  <c r="Q165" i="5"/>
  <c r="Q217" i="5"/>
  <c r="Q101" i="5"/>
  <c r="Q269" i="5"/>
  <c r="Q313" i="5"/>
  <c r="Q215" i="5"/>
  <c r="Q271" i="5"/>
  <c r="Q305" i="5"/>
  <c r="Q173" i="5"/>
  <c r="Q265" i="5"/>
  <c r="Q287" i="5"/>
  <c r="Q329" i="5"/>
  <c r="Q257" i="5"/>
  <c r="Q356" i="5"/>
  <c r="Q391" i="5"/>
  <c r="Q431" i="5"/>
  <c r="Q279" i="5"/>
  <c r="Q354" i="5"/>
  <c r="Q388" i="5"/>
  <c r="Q263" i="5"/>
  <c r="Q370" i="5"/>
  <c r="Q405" i="5"/>
  <c r="Q378" i="5"/>
  <c r="Q455" i="5"/>
  <c r="Q475" i="5"/>
  <c r="Q519" i="5"/>
  <c r="Q337" i="5"/>
  <c r="Q435" i="5"/>
  <c r="Q477" i="5"/>
  <c r="Q495" i="5"/>
  <c r="Q426" i="5"/>
  <c r="Q479" i="5"/>
  <c r="Q529" i="5"/>
  <c r="Q545" i="5"/>
  <c r="Q481" i="5"/>
  <c r="Q552" i="5"/>
  <c r="Q522" i="5"/>
  <c r="Q525" i="5"/>
  <c r="Q499" i="5"/>
  <c r="O11" i="5"/>
  <c r="Q45" i="5"/>
  <c r="Q43" i="5"/>
  <c r="Q46" i="5"/>
  <c r="Q38" i="5"/>
  <c r="Q61" i="5"/>
  <c r="Q28" i="5"/>
  <c r="Q76" i="5"/>
  <c r="Q111" i="5"/>
  <c r="Q99" i="5"/>
  <c r="Q135" i="5"/>
  <c r="Q98" i="5"/>
  <c r="Q149" i="5"/>
  <c r="Q121" i="5"/>
  <c r="Q148" i="5"/>
  <c r="Q169" i="5"/>
  <c r="Q172" i="5"/>
  <c r="Q170" i="5"/>
  <c r="Q198" i="5"/>
  <c r="Q251" i="5"/>
  <c r="Q219" i="5"/>
  <c r="Q171" i="5"/>
  <c r="Q222" i="5"/>
  <c r="Q187" i="5"/>
  <c r="Q276" i="5"/>
  <c r="Q316" i="5"/>
  <c r="Q218" i="5"/>
  <c r="Q281" i="5"/>
  <c r="Q307" i="5"/>
  <c r="Q211" i="5"/>
  <c r="Q267" i="5"/>
  <c r="Q294" i="5"/>
  <c r="Q339" i="5"/>
  <c r="Q273" i="5"/>
  <c r="Q371" i="5"/>
  <c r="Q396" i="5"/>
  <c r="Q438" i="5"/>
  <c r="Q282" i="5"/>
  <c r="Q361" i="5"/>
  <c r="Q399" i="5"/>
  <c r="Q322" i="5"/>
  <c r="Q374" i="5"/>
  <c r="Q406" i="5"/>
  <c r="Q381" i="5"/>
  <c r="Q461" i="5"/>
  <c r="Q483" i="5"/>
  <c r="Q521" i="5"/>
  <c r="Q345" i="5"/>
  <c r="Q436" i="5"/>
  <c r="Q482" i="5"/>
  <c r="Q506" i="5"/>
  <c r="Q437" i="5"/>
  <c r="Q484" i="5"/>
  <c r="Q530" i="5"/>
  <c r="Q548" i="5"/>
  <c r="Q491" i="5"/>
  <c r="Q555" i="5"/>
  <c r="Q549" i="5"/>
  <c r="Q533" i="5"/>
  <c r="Q505" i="5"/>
  <c r="Q93" i="5"/>
  <c r="Q162" i="5"/>
  <c r="Q266" i="5"/>
  <c r="Q324" i="5"/>
  <c r="Q419" i="5"/>
  <c r="Q434" i="5"/>
  <c r="Q551" i="5"/>
  <c r="Q39" i="5"/>
  <c r="Q109" i="5"/>
  <c r="Q132" i="5"/>
  <c r="Q311" i="5"/>
  <c r="Q254" i="5"/>
  <c r="Q367" i="5"/>
  <c r="Q470" i="5"/>
  <c r="Q507" i="5"/>
  <c r="Q34" i="5"/>
  <c r="Q131" i="5"/>
  <c r="Q190" i="5"/>
  <c r="Q212" i="5"/>
  <c r="Q355" i="5"/>
  <c r="Q401" i="5"/>
  <c r="Q493" i="5"/>
  <c r="Q513" i="5"/>
  <c r="Q37" i="5"/>
  <c r="Q158" i="5"/>
  <c r="Q241" i="5"/>
  <c r="Q261" i="5"/>
  <c r="Q389" i="5"/>
  <c r="Q366" i="5"/>
  <c r="Q362" i="5"/>
  <c r="Q458" i="5"/>
  <c r="Q78" i="5"/>
  <c r="Q139" i="5"/>
  <c r="Q214" i="5"/>
  <c r="Q262" i="5"/>
  <c r="Q353" i="5"/>
  <c r="Q517" i="5"/>
  <c r="Q543" i="5"/>
  <c r="Q84" i="5"/>
  <c r="Q122" i="5"/>
  <c r="Q244" i="5"/>
  <c r="Q286" i="5"/>
  <c r="Q383" i="5"/>
  <c r="Q335" i="5"/>
  <c r="Q478" i="5"/>
  <c r="Q167" i="5"/>
  <c r="Q62" i="5"/>
  <c r="Q428" i="5"/>
  <c r="Q66" i="5"/>
  <c r="Q270" i="5"/>
  <c r="Q474" i="5"/>
  <c r="Q143" i="5"/>
  <c r="Q454" i="5"/>
  <c r="Q113" i="5"/>
  <c r="Q97" i="5"/>
  <c r="Q528" i="5"/>
  <c r="Q303" i="5"/>
  <c r="Q194" i="5"/>
  <c r="Q476" i="5"/>
  <c r="B37" i="5"/>
  <c r="AH403" i="5"/>
  <c r="AN272" i="5"/>
  <c r="AO272" i="5"/>
  <c r="U64" i="5"/>
  <c r="V64" i="5"/>
  <c r="AM193" i="5"/>
  <c r="U64" i="4"/>
  <c r="AS64" i="4"/>
  <c r="V64" i="4"/>
  <c r="AS102" i="4"/>
  <c r="V27" i="4"/>
  <c r="AS27" i="4"/>
  <c r="V108" i="4"/>
  <c r="AM59" i="5"/>
  <c r="T554" i="5"/>
  <c r="T546" i="5"/>
  <c r="T432" i="5"/>
  <c r="T448" i="5"/>
  <c r="T408" i="5"/>
  <c r="T280" i="5"/>
  <c r="T296" i="5"/>
  <c r="AM104" i="5"/>
  <c r="AM379" i="5"/>
  <c r="AM307" i="5"/>
  <c r="AM91" i="5"/>
  <c r="AM292" i="5"/>
  <c r="AM20" i="5"/>
  <c r="T38" i="5"/>
  <c r="T34" i="5"/>
  <c r="T70" i="5"/>
  <c r="T55" i="5"/>
  <c r="T89" i="5"/>
  <c r="T105" i="5"/>
  <c r="T87" i="5"/>
  <c r="T84" i="5"/>
  <c r="T43" i="5"/>
  <c r="T33" i="5"/>
  <c r="T66" i="5"/>
  <c r="T25" i="5"/>
  <c r="T83" i="5"/>
  <c r="T121" i="5"/>
  <c r="T26" i="5"/>
  <c r="T47" i="5"/>
  <c r="T27" i="5"/>
  <c r="T41" i="5"/>
  <c r="T94" i="5"/>
  <c r="T117" i="5"/>
  <c r="T52" i="5"/>
  <c r="T59" i="5"/>
  <c r="T74" i="5"/>
  <c r="T98" i="5"/>
  <c r="T91" i="5"/>
  <c r="T139" i="5"/>
  <c r="T39" i="5"/>
  <c r="T35" i="5"/>
  <c r="T95" i="5"/>
  <c r="T155" i="5"/>
  <c r="T151" i="5"/>
  <c r="T187" i="5"/>
  <c r="T154" i="5"/>
  <c r="T201" i="5"/>
  <c r="T211" i="5"/>
  <c r="T159" i="5"/>
  <c r="T243" i="5"/>
  <c r="T225" i="5"/>
  <c r="T249" i="5"/>
  <c r="T274" i="5"/>
  <c r="T318" i="5"/>
  <c r="T250" i="5"/>
  <c r="T292" i="5"/>
  <c r="T259" i="5"/>
  <c r="T290" i="5"/>
  <c r="T310" i="5"/>
  <c r="T354" i="5"/>
  <c r="T362" i="5"/>
  <c r="T393" i="5"/>
  <c r="T317" i="5"/>
  <c r="T385" i="5"/>
  <c r="T162" i="5"/>
  <c r="T340" i="5"/>
  <c r="T379" i="5"/>
  <c r="T451" i="5"/>
  <c r="T494" i="5"/>
  <c r="T525" i="5"/>
  <c r="T431" i="5"/>
  <c r="T517" i="5"/>
  <c r="T374" i="5"/>
  <c r="T425" i="5"/>
  <c r="T461" i="5"/>
  <c r="T487" i="5"/>
  <c r="T531" i="5"/>
  <c r="T346" i="5"/>
  <c r="T22" i="5"/>
  <c r="T63" i="5"/>
  <c r="T107" i="5"/>
  <c r="T106" i="5"/>
  <c r="T156" i="5"/>
  <c r="T125" i="5"/>
  <c r="T118" i="5"/>
  <c r="T161" i="5"/>
  <c r="T204" i="5"/>
  <c r="T215" i="5"/>
  <c r="T166" i="5"/>
  <c r="T174" i="5"/>
  <c r="T230" i="5"/>
  <c r="T252" i="5"/>
  <c r="T279" i="5"/>
  <c r="T322" i="5"/>
  <c r="T251" i="5"/>
  <c r="T299" i="5"/>
  <c r="T331" i="5"/>
  <c r="T261" i="5"/>
  <c r="T293" i="5"/>
  <c r="T356" i="5"/>
  <c r="T315" i="5"/>
  <c r="T364" i="5"/>
  <c r="T429" i="5"/>
  <c r="T341" i="5"/>
  <c r="T386" i="5"/>
  <c r="T195" i="5"/>
  <c r="T348" i="5"/>
  <c r="T382" i="5"/>
  <c r="T411" i="5"/>
  <c r="T428" i="5"/>
  <c r="T458" i="5"/>
  <c r="T499" i="5"/>
  <c r="T532" i="5"/>
  <c r="T438" i="5"/>
  <c r="T468" i="5"/>
  <c r="T498" i="5"/>
  <c r="T519" i="5"/>
  <c r="T377" i="5"/>
  <c r="T434" i="5"/>
  <c r="T463" i="5"/>
  <c r="T489" i="5"/>
  <c r="T540" i="5"/>
  <c r="T544" i="5"/>
  <c r="T514" i="5"/>
  <c r="T555" i="5"/>
  <c r="T549" i="5"/>
  <c r="T479" i="5"/>
  <c r="T36" i="5"/>
  <c r="T76" i="5"/>
  <c r="T85" i="5"/>
  <c r="T109" i="5"/>
  <c r="T114" i="5"/>
  <c r="T134" i="5"/>
  <c r="T133" i="5"/>
  <c r="T172" i="5"/>
  <c r="T206" i="5"/>
  <c r="T223" i="5"/>
  <c r="T199" i="5"/>
  <c r="T180" i="5"/>
  <c r="T233" i="5"/>
  <c r="T254" i="5"/>
  <c r="T282" i="5"/>
  <c r="T327" i="5"/>
  <c r="T258" i="5"/>
  <c r="T302" i="5"/>
  <c r="T321" i="5"/>
  <c r="T262" i="5"/>
  <c r="T329" i="5"/>
  <c r="T366" i="5"/>
  <c r="T403" i="5"/>
  <c r="T433" i="5"/>
  <c r="T369" i="5"/>
  <c r="T389" i="5"/>
  <c r="T228" i="5"/>
  <c r="T353" i="5"/>
  <c r="T383" i="5"/>
  <c r="T414" i="5"/>
  <c r="T430" i="5"/>
  <c r="T460" i="5"/>
  <c r="T505" i="5"/>
  <c r="T533" i="5"/>
  <c r="T442" i="5"/>
  <c r="T471" i="5"/>
  <c r="O10" i="5"/>
  <c r="AJ10" i="5" s="1"/>
  <c r="T53" i="5"/>
  <c r="T57" i="5"/>
  <c r="T101" i="5"/>
  <c r="T115" i="5"/>
  <c r="T149" i="5"/>
  <c r="T140" i="5"/>
  <c r="T183" i="5"/>
  <c r="T188" i="5"/>
  <c r="T212" i="5"/>
  <c r="T191" i="5"/>
  <c r="T235" i="5"/>
  <c r="T260" i="5"/>
  <c r="T289" i="5"/>
  <c r="T332" i="5"/>
  <c r="T266" i="5"/>
  <c r="T311" i="5"/>
  <c r="T226" i="5"/>
  <c r="T268" i="5"/>
  <c r="T298" i="5"/>
  <c r="T326" i="5"/>
  <c r="T267" i="5"/>
  <c r="T337" i="5"/>
  <c r="T367" i="5"/>
  <c r="T405" i="5"/>
  <c r="T436" i="5"/>
  <c r="T371" i="5"/>
  <c r="T391" i="5"/>
  <c r="T355" i="5"/>
  <c r="T388" i="5"/>
  <c r="T417" i="5"/>
  <c r="T466" i="5"/>
  <c r="T507" i="5"/>
  <c r="T537" i="5"/>
  <c r="T453" i="5"/>
  <c r="T474" i="5"/>
  <c r="T501" i="5"/>
  <c r="T522" i="5"/>
  <c r="T398" i="5"/>
  <c r="T439" i="5"/>
  <c r="T470" i="5"/>
  <c r="T493" i="5"/>
  <c r="T557" i="5"/>
  <c r="T465" i="5"/>
  <c r="T545" i="5"/>
  <c r="T406" i="5"/>
  <c r="T524" i="5"/>
  <c r="T559" i="5"/>
  <c r="T502" i="5"/>
  <c r="T61" i="5"/>
  <c r="T37" i="5"/>
  <c r="T123" i="5"/>
  <c r="T119" i="5"/>
  <c r="T171" i="5"/>
  <c r="T169" i="5"/>
  <c r="T185" i="5"/>
  <c r="T196" i="5"/>
  <c r="T227" i="5"/>
  <c r="T222" i="5"/>
  <c r="T236" i="5"/>
  <c r="T263" i="5"/>
  <c r="T295" i="5"/>
  <c r="T334" i="5"/>
  <c r="T276" i="5"/>
  <c r="T313" i="5"/>
  <c r="T231" i="5"/>
  <c r="T269" i="5"/>
  <c r="T300" i="5"/>
  <c r="T330" i="5"/>
  <c r="T342" i="5"/>
  <c r="T378" i="5"/>
  <c r="T410" i="5"/>
  <c r="T437" i="5"/>
  <c r="T372" i="5"/>
  <c r="T396" i="5"/>
  <c r="T275" i="5"/>
  <c r="T361" i="5"/>
  <c r="T287" i="5"/>
  <c r="T441" i="5"/>
  <c r="T508" i="5"/>
  <c r="T339" i="5"/>
  <c r="T454" i="5"/>
  <c r="T475" i="5"/>
  <c r="T503" i="5"/>
  <c r="T333" i="5"/>
  <c r="T401" i="5"/>
  <c r="T446" i="5"/>
  <c r="T473" i="5"/>
  <c r="T495" i="5"/>
  <c r="T560" i="5"/>
  <c r="T484" i="5"/>
  <c r="T412" i="5"/>
  <c r="T527" i="5"/>
  <c r="T449" i="5"/>
  <c r="T397" i="5"/>
  <c r="T509" i="5"/>
  <c r="T30" i="5"/>
  <c r="T92" i="5"/>
  <c r="T93" i="5"/>
  <c r="T131" i="5"/>
  <c r="T130" i="5"/>
  <c r="T173" i="5"/>
  <c r="T170" i="5"/>
  <c r="T186" i="5"/>
  <c r="T203" i="5"/>
  <c r="T239" i="5"/>
  <c r="T229" i="5"/>
  <c r="T207" i="5"/>
  <c r="T265" i="5"/>
  <c r="T301" i="5"/>
  <c r="T135" i="5"/>
  <c r="T284" i="5"/>
  <c r="T316" i="5"/>
  <c r="T246" i="5"/>
  <c r="T271" i="5"/>
  <c r="T303" i="5"/>
  <c r="T335" i="5"/>
  <c r="T283" i="5"/>
  <c r="T345" i="5"/>
  <c r="T381" i="5"/>
  <c r="T415" i="5"/>
  <c r="T214" i="5"/>
  <c r="T375" i="5"/>
  <c r="T407" i="5"/>
  <c r="T294" i="5"/>
  <c r="T363" i="5"/>
  <c r="T399" i="5"/>
  <c r="T324" i="5"/>
  <c r="T443" i="5"/>
  <c r="T478" i="5"/>
  <c r="T513" i="5"/>
  <c r="T347" i="5"/>
  <c r="T358" i="5"/>
  <c r="T413" i="5"/>
  <c r="T452" i="5"/>
  <c r="T477" i="5"/>
  <c r="T506" i="5"/>
  <c r="T529" i="5"/>
  <c r="T548" i="5"/>
  <c r="T426" i="5"/>
  <c r="T543" i="5"/>
  <c r="T528" i="5"/>
  <c r="T423" i="5"/>
  <c r="T520" i="5"/>
  <c r="T28" i="5"/>
  <c r="T50" i="5"/>
  <c r="T82" i="5"/>
  <c r="T126" i="5"/>
  <c r="T137" i="5"/>
  <c r="T138" i="5"/>
  <c r="T177" i="5"/>
  <c r="T79" i="5"/>
  <c r="T190" i="5"/>
  <c r="T205" i="5"/>
  <c r="T245" i="5"/>
  <c r="T210" i="5"/>
  <c r="T241" i="5"/>
  <c r="T270" i="5"/>
  <c r="T306" i="5"/>
  <c r="T237" i="5"/>
  <c r="T323" i="5"/>
  <c r="T253" i="5"/>
  <c r="T281" i="5"/>
  <c r="T305" i="5"/>
  <c r="T343" i="5"/>
  <c r="T286" i="5"/>
  <c r="T350" i="5"/>
  <c r="T387" i="5"/>
  <c r="T420" i="5"/>
  <c r="T247" i="5"/>
  <c r="T409" i="5"/>
  <c r="T319" i="5"/>
  <c r="T365" i="5"/>
  <c r="T402" i="5"/>
  <c r="T357" i="5"/>
  <c r="T447" i="5"/>
  <c r="T481" i="5"/>
  <c r="T515" i="5"/>
  <c r="T351" i="5"/>
  <c r="T459" i="5"/>
  <c r="T483" i="5"/>
  <c r="T511" i="5"/>
  <c r="T455" i="5"/>
  <c r="T482" i="5"/>
  <c r="T510" i="5"/>
  <c r="T338" i="5"/>
  <c r="T550" i="5"/>
  <c r="T450" i="5"/>
  <c r="T551" i="5"/>
  <c r="T530" i="5"/>
  <c r="T445" i="5"/>
  <c r="T523" i="5"/>
  <c r="T44" i="5"/>
  <c r="T194" i="5"/>
  <c r="T244" i="5"/>
  <c r="T359" i="5"/>
  <c r="T404" i="5"/>
  <c r="T500" i="5"/>
  <c r="T467" i="5"/>
  <c r="T539" i="5"/>
  <c r="T552" i="5"/>
  <c r="T67" i="5"/>
  <c r="T291" i="5"/>
  <c r="T390" i="5"/>
  <c r="T370" i="5"/>
  <c r="T486" i="5"/>
  <c r="T542" i="5"/>
  <c r="T553" i="5"/>
  <c r="T19" i="5"/>
  <c r="T69" i="5"/>
  <c r="T150" i="5"/>
  <c r="T325" i="5"/>
  <c r="T421" i="5"/>
  <c r="T521" i="5"/>
  <c r="T492" i="5"/>
  <c r="T419" i="5"/>
  <c r="T141" i="5"/>
  <c r="T242" i="5"/>
  <c r="T297" i="5"/>
  <c r="T491" i="5"/>
  <c r="T541" i="5"/>
  <c r="T535" i="5"/>
  <c r="T142" i="5"/>
  <c r="T221" i="5"/>
  <c r="T285" i="5"/>
  <c r="T380" i="5"/>
  <c r="T516" i="5"/>
  <c r="T395" i="5"/>
  <c r="T556" i="5"/>
  <c r="T394" i="5"/>
  <c r="T547" i="5"/>
  <c r="T146" i="5"/>
  <c r="T307" i="5"/>
  <c r="T418" i="5"/>
  <c r="T427" i="5"/>
  <c r="T422" i="5"/>
  <c r="T490" i="5"/>
  <c r="T558" i="5"/>
  <c r="T181" i="5"/>
  <c r="T273" i="5"/>
  <c r="T349" i="5"/>
  <c r="T462" i="5"/>
  <c r="T435" i="5"/>
  <c r="T444" i="5"/>
  <c r="T497" i="5"/>
  <c r="T469" i="5"/>
  <c r="T457" i="5"/>
  <c r="T536" i="5"/>
  <c r="T518" i="5"/>
  <c r="T100" i="5"/>
  <c r="T476" i="5"/>
  <c r="T314" i="5"/>
  <c r="T309" i="5"/>
  <c r="T373" i="5"/>
  <c r="T485" i="5"/>
  <c r="AM35" i="5"/>
  <c r="V40" i="4"/>
  <c r="AS40" i="4"/>
  <c r="V8" i="4"/>
  <c r="AM99" i="5"/>
  <c r="U40" i="4"/>
  <c r="AM448" i="5"/>
  <c r="T464" i="5"/>
  <c r="T480" i="5"/>
  <c r="T328" i="5"/>
  <c r="T344" i="5"/>
  <c r="T376" i="5"/>
  <c r="T392" i="5"/>
  <c r="T248" i="5"/>
  <c r="T264" i="5"/>
  <c r="AM280" i="5"/>
  <c r="T160" i="5"/>
  <c r="T24" i="5"/>
  <c r="U176" i="5"/>
  <c r="V176" i="5"/>
  <c r="AM387" i="5"/>
  <c r="AM123" i="5"/>
  <c r="AM107" i="5"/>
  <c r="AM300" i="5"/>
  <c r="AM177" i="5"/>
  <c r="AM57" i="5"/>
  <c r="AS66" i="4"/>
  <c r="AS23" i="4"/>
  <c r="U23" i="4"/>
  <c r="V23" i="4"/>
  <c r="AM464" i="5"/>
  <c r="AM480" i="5"/>
  <c r="T496" i="5"/>
  <c r="T512" i="5"/>
  <c r="T360" i="5"/>
  <c r="AM408" i="5"/>
  <c r="T224" i="5"/>
  <c r="AM248" i="5"/>
  <c r="AM120" i="5"/>
  <c r="AM184" i="5"/>
  <c r="T208" i="5"/>
  <c r="T88" i="5"/>
  <c r="AS93" i="4"/>
  <c r="V93" i="4"/>
  <c r="U93" i="4"/>
  <c r="AJ451" i="5"/>
  <c r="AL451" i="5" s="1"/>
  <c r="AJ465" i="5"/>
  <c r="AK465" i="5" s="1"/>
  <c r="AS91" i="4"/>
  <c r="AM308" i="5"/>
  <c r="AM121" i="5"/>
  <c r="U137" i="4"/>
  <c r="V137" i="4"/>
  <c r="AS127" i="4"/>
  <c r="AS45" i="4"/>
  <c r="T526" i="5"/>
  <c r="AM424" i="5"/>
  <c r="T440" i="5"/>
  <c r="AM344" i="5"/>
  <c r="AM376" i="5"/>
  <c r="T304" i="5"/>
  <c r="AM144" i="5"/>
  <c r="T32" i="5"/>
  <c r="T112" i="5"/>
  <c r="AS128" i="4"/>
  <c r="AS150" i="4"/>
  <c r="V150" i="4"/>
  <c r="U150" i="4"/>
  <c r="AS30" i="4"/>
  <c r="U135" i="4"/>
  <c r="V71" i="4"/>
  <c r="T424" i="5"/>
  <c r="T456" i="5"/>
  <c r="T336" i="5"/>
  <c r="T400" i="5"/>
  <c r="T272" i="5"/>
  <c r="AM208" i="5"/>
  <c r="T56" i="5"/>
  <c r="AM535" i="5"/>
  <c r="AM337" i="5"/>
  <c r="AM257" i="5"/>
  <c r="AM153" i="5"/>
  <c r="AM227" i="5"/>
  <c r="AM203" i="5"/>
  <c r="AM236" i="5"/>
  <c r="AM148" i="5"/>
  <c r="AM60" i="5"/>
  <c r="U47" i="4"/>
  <c r="AS86" i="4"/>
  <c r="V19" i="4"/>
  <c r="AS19" i="4"/>
  <c r="U19" i="4"/>
  <c r="U126" i="4"/>
  <c r="T538" i="5"/>
  <c r="AM440" i="5"/>
  <c r="T472" i="5"/>
  <c r="T504" i="5"/>
  <c r="AM336" i="5"/>
  <c r="T352" i="5"/>
  <c r="T368" i="5"/>
  <c r="T416" i="5"/>
  <c r="T232" i="5"/>
  <c r="T288" i="5"/>
  <c r="T192" i="5"/>
  <c r="T80" i="5"/>
  <c r="S96" i="5"/>
  <c r="R96" i="5"/>
  <c r="AS68" i="4"/>
  <c r="AS103" i="4"/>
  <c r="U103" i="4"/>
  <c r="V103" i="4"/>
  <c r="AS69" i="4"/>
  <c r="V69" i="4"/>
  <c r="AM36" i="5"/>
  <c r="AM67" i="5"/>
  <c r="AM75" i="5"/>
  <c r="AM74" i="5"/>
  <c r="AM100" i="5"/>
  <c r="AM124" i="5"/>
  <c r="AM166" i="5"/>
  <c r="AM201" i="5"/>
  <c r="AM196" i="5"/>
  <c r="AM215" i="5"/>
  <c r="AM291" i="5"/>
  <c r="AM317" i="5"/>
  <c r="AM295" i="5"/>
  <c r="AM357" i="5"/>
  <c r="AM411" i="5"/>
  <c r="AM22" i="5"/>
  <c r="AM21" i="5"/>
  <c r="AM102" i="5"/>
  <c r="AM117" i="5"/>
  <c r="AM170" i="5"/>
  <c r="AM165" i="5"/>
  <c r="AM214" i="5"/>
  <c r="AM237" i="5"/>
  <c r="AM303" i="5"/>
  <c r="AM321" i="5"/>
  <c r="AM309" i="5"/>
  <c r="AM218" i="5"/>
  <c r="AM414" i="5"/>
  <c r="AM375" i="5"/>
  <c r="AM461" i="5"/>
  <c r="AM381" i="5"/>
  <c r="AM545" i="5"/>
  <c r="AM553" i="5"/>
  <c r="AM541" i="5"/>
  <c r="AM37" i="5"/>
  <c r="AM52" i="5"/>
  <c r="AM76" i="5"/>
  <c r="AM86" i="5"/>
  <c r="AM101" i="5"/>
  <c r="AM180" i="5"/>
  <c r="AM190" i="5"/>
  <c r="AM217" i="5"/>
  <c r="AM191" i="5"/>
  <c r="AM323" i="5"/>
  <c r="AM188" i="5"/>
  <c r="AM310" i="5"/>
  <c r="AM316" i="5"/>
  <c r="AM428" i="5"/>
  <c r="AM377" i="5"/>
  <c r="AM333" i="5"/>
  <c r="AM515" i="5"/>
  <c r="AM468" i="5"/>
  <c r="AM405" i="5"/>
  <c r="AM489" i="5"/>
  <c r="AM229" i="5"/>
  <c r="AM558" i="5"/>
  <c r="AM542" i="5"/>
  <c r="AM30" i="5"/>
  <c r="AM63" i="5"/>
  <c r="AM77" i="5"/>
  <c r="AM94" i="5"/>
  <c r="AM126" i="5"/>
  <c r="AM134" i="5"/>
  <c r="AM213" i="5"/>
  <c r="AM226" i="5"/>
  <c r="AM327" i="5"/>
  <c r="AM241" i="5"/>
  <c r="AM315" i="5"/>
  <c r="AM319" i="5"/>
  <c r="AM386" i="5"/>
  <c r="AM531" i="5"/>
  <c r="AM470" i="5"/>
  <c r="AM441" i="5"/>
  <c r="AM494" i="5"/>
  <c r="AM297" i="5"/>
  <c r="AM559" i="5"/>
  <c r="AM44" i="5"/>
  <c r="AM55" i="5"/>
  <c r="AM84" i="5"/>
  <c r="AM138" i="5"/>
  <c r="AM143" i="5"/>
  <c r="AM242" i="5"/>
  <c r="AM246" i="5"/>
  <c r="AM247" i="5"/>
  <c r="AM329" i="5"/>
  <c r="AM250" i="5"/>
  <c r="AM399" i="5"/>
  <c r="AM342" i="5"/>
  <c r="AM401" i="5"/>
  <c r="AM382" i="5"/>
  <c r="AM443" i="5"/>
  <c r="AM502" i="5"/>
  <c r="AM425" i="5"/>
  <c r="AM524" i="5"/>
  <c r="AM46" i="5"/>
  <c r="AM54" i="5"/>
  <c r="AM146" i="5"/>
  <c r="AM158" i="5"/>
  <c r="AM230" i="5"/>
  <c r="AM244" i="5"/>
  <c r="AM266" i="5"/>
  <c r="AM269" i="5"/>
  <c r="AM255" i="5"/>
  <c r="AM330" i="5"/>
  <c r="AM373" i="5"/>
  <c r="AM277" i="5"/>
  <c r="AM402" i="5"/>
  <c r="AM364" i="5"/>
  <c r="AM452" i="5"/>
  <c r="AM391" i="5"/>
  <c r="AM507" i="5"/>
  <c r="AM453" i="5"/>
  <c r="AM503" i="5"/>
  <c r="AM513" i="5"/>
  <c r="AM544" i="5"/>
  <c r="AM483" i="5"/>
  <c r="AM90" i="5"/>
  <c r="AM154" i="5"/>
  <c r="AM181" i="5"/>
  <c r="AM183" i="5"/>
  <c r="AM271" i="5"/>
  <c r="AM268" i="5"/>
  <c r="AM339" i="5"/>
  <c r="AM345" i="5"/>
  <c r="AM417" i="5"/>
  <c r="AM366" i="5"/>
  <c r="AM460" i="5"/>
  <c r="AM403" i="5"/>
  <c r="AM511" i="5"/>
  <c r="AM466" i="5"/>
  <c r="AM509" i="5"/>
  <c r="AM517" i="5"/>
  <c r="AM407" i="5"/>
  <c r="AM19" i="5"/>
  <c r="AM151" i="5"/>
  <c r="AM275" i="5"/>
  <c r="AM398" i="5"/>
  <c r="AM479" i="5"/>
  <c r="AM119" i="5"/>
  <c r="AM351" i="5"/>
  <c r="AM471" i="5"/>
  <c r="AM522" i="5"/>
  <c r="AM150" i="5"/>
  <c r="AM393" i="5"/>
  <c r="AM478" i="5"/>
  <c r="AM523" i="5"/>
  <c r="AM187" i="5"/>
  <c r="AM350" i="5"/>
  <c r="AM429" i="5"/>
  <c r="AM529" i="5"/>
  <c r="AM34" i="5"/>
  <c r="AM182" i="5"/>
  <c r="AM361" i="5"/>
  <c r="AM439" i="5"/>
  <c r="AM548" i="5"/>
  <c r="AM202" i="5"/>
  <c r="AM245" i="5"/>
  <c r="AM516" i="5"/>
  <c r="AM78" i="5"/>
  <c r="AM279" i="5"/>
  <c r="AM254" i="5"/>
  <c r="AM353" i="5"/>
  <c r="AM501" i="5"/>
  <c r="AM95" i="5"/>
  <c r="AM290" i="5"/>
  <c r="AM378" i="5"/>
  <c r="AM469" i="5"/>
  <c r="V68" i="4"/>
  <c r="AM456" i="5"/>
  <c r="T488" i="5"/>
  <c r="T320" i="5"/>
  <c r="AM368" i="5"/>
  <c r="T384" i="5"/>
  <c r="AM400" i="5"/>
  <c r="T256" i="5"/>
  <c r="AM288" i="5"/>
  <c r="T312" i="5"/>
  <c r="T152" i="5"/>
  <c r="AM216" i="5"/>
  <c r="T8" i="5"/>
  <c r="B206" i="2"/>
  <c r="B255" i="2"/>
  <c r="AL64" i="5"/>
  <c r="AK64" i="5"/>
  <c r="U51" i="5"/>
  <c r="V51" i="5"/>
  <c r="AJ195" i="5"/>
  <c r="AJ519" i="5"/>
  <c r="AI305" i="5"/>
  <c r="AH305" i="5"/>
  <c r="AJ171" i="5"/>
  <c r="AJ457" i="5"/>
  <c r="AJ131" i="5"/>
  <c r="AJ59" i="5"/>
  <c r="AJ115" i="5"/>
  <c r="AI294" i="5"/>
  <c r="AH294" i="5"/>
  <c r="AI162" i="5"/>
  <c r="AH162" i="5"/>
  <c r="AI530" i="5"/>
  <c r="AI458" i="5"/>
  <c r="AH458" i="5"/>
  <c r="U11" i="4"/>
  <c r="U92" i="4"/>
  <c r="V92" i="4"/>
  <c r="AS92" i="4"/>
  <c r="U82" i="4"/>
  <c r="U81" i="4"/>
  <c r="AJ533" i="5"/>
  <c r="AJ351" i="5"/>
  <c r="AJ383" i="5"/>
  <c r="AJ263" i="5"/>
  <c r="AJ159" i="5"/>
  <c r="AJ191" i="5"/>
  <c r="AJ95" i="5"/>
  <c r="U129" i="5"/>
  <c r="U20" i="5"/>
  <c r="V20" i="5"/>
  <c r="B51" i="2"/>
  <c r="B32" i="2" s="1"/>
  <c r="AJ448" i="5"/>
  <c r="AJ504" i="5"/>
  <c r="AJ376" i="5"/>
  <c r="AJ120" i="5"/>
  <c r="AJ176" i="5"/>
  <c r="U40" i="5"/>
  <c r="AJ112" i="5"/>
  <c r="AJ369" i="5"/>
  <c r="AJ281" i="5"/>
  <c r="AJ203" i="5"/>
  <c r="AJ395" i="5"/>
  <c r="AJ155" i="5"/>
  <c r="U120" i="4"/>
  <c r="AS53" i="4"/>
  <c r="U53" i="4"/>
  <c r="V53" i="4"/>
  <c r="AS50" i="4"/>
  <c r="U50" i="4"/>
  <c r="U13" i="4"/>
  <c r="V13" i="4"/>
  <c r="AS13" i="4"/>
  <c r="V32" i="4"/>
  <c r="AS32" i="4"/>
  <c r="U32" i="4"/>
  <c r="AJ447" i="5"/>
  <c r="AJ479" i="5"/>
  <c r="AJ231" i="5"/>
  <c r="AJ199" i="5"/>
  <c r="U71" i="5"/>
  <c r="V153" i="5"/>
  <c r="U153" i="5"/>
  <c r="U132" i="5"/>
  <c r="V308" i="5"/>
  <c r="U308" i="5"/>
  <c r="V165" i="5"/>
  <c r="U165" i="5"/>
  <c r="V189" i="5"/>
  <c r="U189" i="5"/>
  <c r="U90" i="5"/>
  <c r="V90" i="5"/>
  <c r="AJ512" i="5"/>
  <c r="AJ384" i="5"/>
  <c r="AJ256" i="5"/>
  <c r="AO296" i="5"/>
  <c r="AJ26" i="5"/>
  <c r="AJ33" i="5"/>
  <c r="AJ34" i="5"/>
  <c r="AJ36" i="5"/>
  <c r="AJ65" i="5"/>
  <c r="AJ58" i="5"/>
  <c r="AJ70" i="5"/>
  <c r="AJ141" i="5"/>
  <c r="AJ102" i="5"/>
  <c r="AJ188" i="5"/>
  <c r="AJ148" i="5"/>
  <c r="AJ214" i="5"/>
  <c r="AJ241" i="5"/>
  <c r="AJ253" i="5"/>
  <c r="AJ294" i="5"/>
  <c r="AJ329" i="5"/>
  <c r="AJ251" i="5"/>
  <c r="AJ213" i="5"/>
  <c r="AJ270" i="5"/>
  <c r="AJ297" i="5"/>
  <c r="AJ246" i="5"/>
  <c r="AJ345" i="5"/>
  <c r="AJ370" i="5"/>
  <c r="AJ38" i="5"/>
  <c r="AJ68" i="5"/>
  <c r="AJ101" i="5"/>
  <c r="AJ138" i="5"/>
  <c r="AJ116" i="5"/>
  <c r="AJ133" i="5"/>
  <c r="AJ180" i="5"/>
  <c r="AJ242" i="5"/>
  <c r="AJ234" i="5"/>
  <c r="AJ189" i="5"/>
  <c r="AJ218" i="5"/>
  <c r="AJ298" i="5"/>
  <c r="AJ330" i="5"/>
  <c r="AJ254" i="5"/>
  <c r="AJ314" i="5"/>
  <c r="AJ221" i="5"/>
  <c r="AJ333" i="5"/>
  <c r="AJ346" i="5"/>
  <c r="AJ342" i="5"/>
  <c r="AJ378" i="5"/>
  <c r="AJ420" i="5"/>
  <c r="AJ396" i="5"/>
  <c r="AJ338" i="5"/>
  <c r="AJ446" i="5"/>
  <c r="AJ506" i="5"/>
  <c r="AJ502" i="5"/>
  <c r="AJ517" i="5"/>
  <c r="AJ542" i="5"/>
  <c r="AJ550" i="5"/>
  <c r="AJ528" i="5"/>
  <c r="AJ548" i="5"/>
  <c r="AJ486" i="5"/>
  <c r="AJ44" i="5"/>
  <c r="AJ42" i="5"/>
  <c r="AJ50" i="5"/>
  <c r="AJ74" i="5"/>
  <c r="AJ78" i="5"/>
  <c r="AJ109" i="5"/>
  <c r="AJ100" i="5"/>
  <c r="AJ118" i="5"/>
  <c r="AJ149" i="5"/>
  <c r="AJ110" i="5"/>
  <c r="AJ186" i="5"/>
  <c r="AJ165" i="5"/>
  <c r="AJ194" i="5"/>
  <c r="AJ222" i="5"/>
  <c r="AJ193" i="5"/>
  <c r="AJ269" i="5"/>
  <c r="AJ305" i="5"/>
  <c r="AJ177" i="5"/>
  <c r="AJ257" i="5"/>
  <c r="AJ293" i="5"/>
  <c r="AJ250" i="5"/>
  <c r="AJ277" i="5"/>
  <c r="AJ308" i="5"/>
  <c r="AJ340" i="5"/>
  <c r="AJ356" i="5"/>
  <c r="AJ412" i="5"/>
  <c r="AJ349" i="5"/>
  <c r="AJ394" i="5"/>
  <c r="AJ401" i="5"/>
  <c r="AJ385" i="5"/>
  <c r="AJ461" i="5"/>
  <c r="AJ482" i="5"/>
  <c r="AJ418" i="5"/>
  <c r="AJ508" i="5"/>
  <c r="AJ417" i="5"/>
  <c r="AJ442" i="5"/>
  <c r="AJ527" i="5"/>
  <c r="AJ547" i="5"/>
  <c r="AJ556" i="5"/>
  <c r="AJ535" i="5"/>
  <c r="AJ497" i="5"/>
  <c r="AJ46" i="5"/>
  <c r="AJ45" i="5"/>
  <c r="AJ54" i="5"/>
  <c r="AJ84" i="5"/>
  <c r="AJ130" i="5"/>
  <c r="AJ157" i="5"/>
  <c r="AJ114" i="5"/>
  <c r="AJ164" i="5"/>
  <c r="AJ156" i="5"/>
  <c r="AJ170" i="5"/>
  <c r="AJ205" i="5"/>
  <c r="AJ226" i="5"/>
  <c r="AJ197" i="5"/>
  <c r="AJ198" i="5"/>
  <c r="AJ310" i="5"/>
  <c r="AJ322" i="5"/>
  <c r="AJ252" i="5"/>
  <c r="AJ282" i="5"/>
  <c r="AJ357" i="5"/>
  <c r="AJ380" i="5"/>
  <c r="AJ413" i="5"/>
  <c r="AJ354" i="5"/>
  <c r="AJ300" i="5"/>
  <c r="AJ381" i="5"/>
  <c r="AJ428" i="5"/>
  <c r="AJ484" i="5"/>
  <c r="AJ454" i="5"/>
  <c r="AJ509" i="5"/>
  <c r="AJ421" i="5"/>
  <c r="AJ445" i="5"/>
  <c r="AJ485" i="5"/>
  <c r="AJ552" i="5"/>
  <c r="AJ452" i="5"/>
  <c r="AJ22" i="5"/>
  <c r="AJ20" i="5"/>
  <c r="AJ21" i="5"/>
  <c r="AJ52" i="5"/>
  <c r="AJ61" i="5"/>
  <c r="AJ60" i="5"/>
  <c r="AJ85" i="5"/>
  <c r="AJ125" i="5"/>
  <c r="AJ158" i="5"/>
  <c r="AJ132" i="5"/>
  <c r="AJ150" i="5"/>
  <c r="AJ166" i="5"/>
  <c r="AJ173" i="5"/>
  <c r="AJ228" i="5"/>
  <c r="AJ172" i="5"/>
  <c r="AJ236" i="5"/>
  <c r="AJ278" i="5"/>
  <c r="AJ317" i="5"/>
  <c r="AJ230" i="5"/>
  <c r="AJ301" i="5"/>
  <c r="AJ324" i="5"/>
  <c r="AJ258" i="5"/>
  <c r="AJ286" i="5"/>
  <c r="AJ316" i="5"/>
  <c r="AJ274" i="5"/>
  <c r="AJ358" i="5"/>
  <c r="AJ398" i="5"/>
  <c r="AJ382" i="5"/>
  <c r="AJ405" i="5"/>
  <c r="AJ429" i="5"/>
  <c r="AJ492" i="5"/>
  <c r="AJ523" i="5"/>
  <c r="AJ436" i="5"/>
  <c r="AJ510" i="5"/>
  <c r="AJ422" i="5"/>
  <c r="AJ490" i="5"/>
  <c r="AJ558" i="5"/>
  <c r="AJ462" i="5"/>
  <c r="AJ514" i="5"/>
  <c r="AJ28" i="5"/>
  <c r="AJ57" i="5"/>
  <c r="AJ82" i="5"/>
  <c r="AJ106" i="5"/>
  <c r="AJ134" i="5"/>
  <c r="AJ140" i="5"/>
  <c r="AJ179" i="5"/>
  <c r="AJ204" i="5"/>
  <c r="AJ237" i="5"/>
  <c r="AJ232" i="5"/>
  <c r="AJ321" i="5"/>
  <c r="AJ287" i="5"/>
  <c r="AJ267" i="5"/>
  <c r="AJ355" i="5"/>
  <c r="AJ377" i="5"/>
  <c r="AJ434" i="5"/>
  <c r="AJ388" i="5"/>
  <c r="AJ372" i="5"/>
  <c r="AJ352" i="5"/>
  <c r="AJ480" i="5"/>
  <c r="AJ373" i="5"/>
  <c r="AJ481" i="5"/>
  <c r="AJ266" i="5"/>
  <c r="AJ437" i="5"/>
  <c r="AJ526" i="5"/>
  <c r="AJ404" i="5"/>
  <c r="AJ530" i="5"/>
  <c r="AJ498" i="5"/>
  <c r="AJ19" i="5"/>
  <c r="O13" i="5"/>
  <c r="AJ23" i="5"/>
  <c r="AJ39" i="5"/>
  <c r="AJ62" i="5"/>
  <c r="AJ93" i="5"/>
  <c r="AJ117" i="5"/>
  <c r="AJ136" i="5"/>
  <c r="AJ151" i="5"/>
  <c r="AJ137" i="5"/>
  <c r="AJ25" i="5"/>
  <c r="AJ63" i="5"/>
  <c r="AJ75" i="5"/>
  <c r="AJ94" i="5"/>
  <c r="AJ126" i="5"/>
  <c r="AJ145" i="5"/>
  <c r="AJ154" i="5"/>
  <c r="AJ182" i="5"/>
  <c r="AJ219" i="5"/>
  <c r="AJ181" i="5"/>
  <c r="AJ243" i="5"/>
  <c r="AJ331" i="5"/>
  <c r="AJ309" i="5"/>
  <c r="AJ289" i="5"/>
  <c r="AJ296" i="5"/>
  <c r="AJ390" i="5"/>
  <c r="AJ336" i="5"/>
  <c r="AJ406" i="5"/>
  <c r="AJ387" i="5"/>
  <c r="AJ440" i="5"/>
  <c r="AJ500" i="5"/>
  <c r="AJ441" i="5"/>
  <c r="AJ494" i="5"/>
  <c r="AJ393" i="5"/>
  <c r="AJ458" i="5"/>
  <c r="AJ538" i="5"/>
  <c r="AJ532" i="5"/>
  <c r="AJ551" i="5"/>
  <c r="AJ555" i="5"/>
  <c r="AJ37" i="5"/>
  <c r="AJ69" i="5"/>
  <c r="AJ76" i="5"/>
  <c r="AJ104" i="5"/>
  <c r="AJ128" i="5"/>
  <c r="AJ80" i="5"/>
  <c r="AJ139" i="5"/>
  <c r="AJ184" i="5"/>
  <c r="AJ235" i="5"/>
  <c r="AJ192" i="5"/>
  <c r="AJ247" i="5"/>
  <c r="AJ248" i="5"/>
  <c r="AJ315" i="5"/>
  <c r="AJ292" i="5"/>
  <c r="AJ337" i="5"/>
  <c r="AJ392" i="5"/>
  <c r="AJ341" i="5"/>
  <c r="AJ415" i="5"/>
  <c r="AJ391" i="5"/>
  <c r="AJ444" i="5"/>
  <c r="AJ505" i="5"/>
  <c r="AJ443" i="5"/>
  <c r="AJ499" i="5"/>
  <c r="AJ402" i="5"/>
  <c r="AJ460" i="5"/>
  <c r="AJ540" i="5"/>
  <c r="AJ549" i="5"/>
  <c r="AJ554" i="5"/>
  <c r="AJ557" i="5"/>
  <c r="AJ29" i="5"/>
  <c r="AJ53" i="5"/>
  <c r="AJ77" i="5"/>
  <c r="AJ90" i="5"/>
  <c r="AJ146" i="5"/>
  <c r="AJ86" i="5"/>
  <c r="AJ168" i="5"/>
  <c r="AJ196" i="5"/>
  <c r="AJ238" i="5"/>
  <c r="AJ206" i="5"/>
  <c r="AJ262" i="5"/>
  <c r="AJ249" i="5"/>
  <c r="AJ332" i="5"/>
  <c r="AJ304" i="5"/>
  <c r="AJ344" i="5"/>
  <c r="AJ408" i="5"/>
  <c r="AJ348" i="5"/>
  <c r="AJ259" i="5"/>
  <c r="AJ397" i="5"/>
  <c r="AJ453" i="5"/>
  <c r="AJ511" i="5"/>
  <c r="AJ450" i="5"/>
  <c r="AJ503" i="5"/>
  <c r="AJ414" i="5"/>
  <c r="AJ472" i="5"/>
  <c r="AJ544" i="5"/>
  <c r="AJ559" i="5"/>
  <c r="AJ560" i="5"/>
  <c r="AJ474" i="5"/>
  <c r="AJ30" i="5"/>
  <c r="AJ66" i="5"/>
  <c r="AJ73" i="5"/>
  <c r="AJ92" i="5"/>
  <c r="AJ161" i="5"/>
  <c r="AJ108" i="5"/>
  <c r="AJ174" i="5"/>
  <c r="AJ124" i="5"/>
  <c r="AJ244" i="5"/>
  <c r="AJ209" i="5"/>
  <c r="AJ284" i="5"/>
  <c r="AJ255" i="5"/>
  <c r="AJ190" i="5"/>
  <c r="AJ319" i="5"/>
  <c r="AJ350" i="5"/>
  <c r="AJ419" i="5"/>
  <c r="AJ364" i="5"/>
  <c r="AJ323" i="5"/>
  <c r="AJ407" i="5"/>
  <c r="AJ470" i="5"/>
  <c r="AJ537" i="5"/>
  <c r="AJ463" i="5"/>
  <c r="AJ513" i="5"/>
  <c r="AJ424" i="5"/>
  <c r="AJ491" i="5"/>
  <c r="AJ261" i="5"/>
  <c r="AJ468" i="5"/>
  <c r="AJ471" i="5"/>
  <c r="AJ529" i="5"/>
  <c r="AJ41" i="5"/>
  <c r="AJ27" i="5"/>
  <c r="AJ91" i="5"/>
  <c r="AJ98" i="5"/>
  <c r="AJ87" i="5"/>
  <c r="AJ123" i="5"/>
  <c r="AJ185" i="5"/>
  <c r="AJ142" i="5"/>
  <c r="AJ202" i="5"/>
  <c r="AJ220" i="5"/>
  <c r="AJ290" i="5"/>
  <c r="AJ268" i="5"/>
  <c r="AJ245" i="5"/>
  <c r="AJ325" i="5"/>
  <c r="AJ363" i="5"/>
  <c r="AJ426" i="5"/>
  <c r="AJ366" i="5"/>
  <c r="AJ343" i="5"/>
  <c r="AJ409" i="5"/>
  <c r="AJ476" i="5"/>
  <c r="AJ288" i="5"/>
  <c r="AJ466" i="5"/>
  <c r="AJ518" i="5"/>
  <c r="AJ425" i="5"/>
  <c r="AJ496" i="5"/>
  <c r="AJ279" i="5"/>
  <c r="AJ516" i="5"/>
  <c r="AJ475" i="5"/>
  <c r="AJ543" i="5"/>
  <c r="AJ24" i="5"/>
  <c r="AJ49" i="5"/>
  <c r="AJ67" i="5"/>
  <c r="AJ103" i="5"/>
  <c r="AJ122" i="5"/>
  <c r="AJ129" i="5"/>
  <c r="AJ178" i="5"/>
  <c r="AJ162" i="5"/>
  <c r="AJ215" i="5"/>
  <c r="AJ229" i="5"/>
  <c r="AJ302" i="5"/>
  <c r="AJ275" i="5"/>
  <c r="AJ260" i="5"/>
  <c r="AJ334" i="5"/>
  <c r="AJ365" i="5"/>
  <c r="AJ427" i="5"/>
  <c r="AJ374" i="5"/>
  <c r="AJ362" i="5"/>
  <c r="AJ410" i="5"/>
  <c r="AJ477" i="5"/>
  <c r="AJ361" i="5"/>
  <c r="AJ469" i="5"/>
  <c r="AJ520" i="5"/>
  <c r="AJ433" i="5"/>
  <c r="AJ501" i="5"/>
  <c r="AJ285" i="5"/>
  <c r="AJ522" i="5"/>
  <c r="AJ478" i="5"/>
  <c r="AJ545" i="5"/>
  <c r="AJ212" i="5"/>
  <c r="AJ493" i="5"/>
  <c r="AJ389" i="5"/>
  <c r="AJ375" i="5"/>
  <c r="AJ210" i="5"/>
  <c r="AJ318" i="5"/>
  <c r="AJ456" i="5"/>
  <c r="AJ175" i="5"/>
  <c r="AJ400" i="5"/>
  <c r="AJ536" i="5"/>
  <c r="AJ208" i="5"/>
  <c r="AJ386" i="5"/>
  <c r="AJ524" i="5"/>
  <c r="AJ326" i="5"/>
  <c r="AJ430" i="5"/>
  <c r="AJ546" i="5"/>
  <c r="AJ306" i="5"/>
  <c r="AJ495" i="5"/>
  <c r="AJ531" i="5"/>
  <c r="AJ276" i="5"/>
  <c r="AJ438" i="5"/>
  <c r="AJ233" i="5"/>
  <c r="AJ507" i="5"/>
  <c r="AJ201" i="5"/>
  <c r="AJ435" i="5"/>
  <c r="AJ163" i="5"/>
  <c r="B47" i="2"/>
  <c r="B28" i="2" s="1"/>
  <c r="AH412" i="5"/>
  <c r="AS88" i="4"/>
  <c r="U88" i="4"/>
  <c r="V151" i="4"/>
  <c r="V36" i="4"/>
  <c r="AS36" i="4"/>
  <c r="U36" i="4"/>
  <c r="AS144" i="4"/>
  <c r="U144" i="4"/>
  <c r="V153" i="4"/>
  <c r="AS153" i="4"/>
  <c r="U153" i="4"/>
  <c r="V138" i="4"/>
  <c r="AS41" i="4"/>
  <c r="V41" i="4"/>
  <c r="U41" i="4"/>
  <c r="AJ553" i="5"/>
  <c r="AJ359" i="5"/>
  <c r="AJ271" i="5"/>
  <c r="AJ135" i="5"/>
  <c r="AJ167" i="5"/>
  <c r="U31" i="5"/>
  <c r="V31" i="5"/>
  <c r="U217" i="5"/>
  <c r="V217" i="5"/>
  <c r="U110" i="5"/>
  <c r="V277" i="5"/>
  <c r="U124" i="5"/>
  <c r="V124" i="5"/>
  <c r="U158" i="5"/>
  <c r="V158" i="5"/>
  <c r="AO128" i="5"/>
  <c r="AJ160" i="5"/>
  <c r="AJ216" i="5"/>
  <c r="AJ449" i="5"/>
  <c r="AJ81" i="5"/>
  <c r="AJ515" i="5"/>
  <c r="AN498" i="5"/>
  <c r="V65" i="4"/>
  <c r="AS65" i="4"/>
  <c r="U65" i="4"/>
  <c r="U119" i="4"/>
  <c r="V119" i="4"/>
  <c r="AS119" i="4"/>
  <c r="V112" i="4"/>
  <c r="AS112" i="4"/>
  <c r="U112" i="4"/>
  <c r="U121" i="4"/>
  <c r="V99" i="4"/>
  <c r="AS99" i="4"/>
  <c r="U99" i="4"/>
  <c r="AJ423" i="5"/>
  <c r="AJ487" i="5"/>
  <c r="AJ327" i="5"/>
  <c r="AI359" i="5"/>
  <c r="AH359" i="5"/>
  <c r="AJ399" i="5"/>
  <c r="AJ31" i="5"/>
  <c r="AJ71" i="5"/>
  <c r="V220" i="5"/>
  <c r="V213" i="5"/>
  <c r="V108" i="5"/>
  <c r="U163" i="5"/>
  <c r="V163" i="5"/>
  <c r="AJ534" i="5"/>
  <c r="AJ464" i="5"/>
  <c r="AI360" i="5"/>
  <c r="U240" i="5"/>
  <c r="V240" i="5"/>
  <c r="V128" i="5"/>
  <c r="U128" i="5"/>
  <c r="AH24" i="5"/>
  <c r="AI24" i="5"/>
  <c r="AJ473" i="5"/>
  <c r="AJ121" i="5"/>
  <c r="AJ89" i="5"/>
  <c r="V88" i="4"/>
  <c r="AH521" i="5"/>
  <c r="AI521" i="5"/>
  <c r="AJ347" i="5"/>
  <c r="U75" i="5"/>
  <c r="V75" i="5"/>
  <c r="AH119" i="5"/>
  <c r="AI119" i="5"/>
  <c r="AJ265" i="5"/>
  <c r="AJ411" i="5"/>
  <c r="AJ291" i="5"/>
  <c r="AI306" i="5"/>
  <c r="AH438" i="5"/>
  <c r="AS147" i="4"/>
  <c r="U147" i="4"/>
  <c r="V147" i="4"/>
  <c r="V154" i="4"/>
  <c r="AS78" i="4"/>
  <c r="V78" i="4"/>
  <c r="U78" i="4"/>
  <c r="U15" i="4"/>
  <c r="U89" i="4"/>
  <c r="V89" i="4"/>
  <c r="AS89" i="4"/>
  <c r="B223" i="2"/>
  <c r="B200" i="2"/>
  <c r="B212" i="2" s="1"/>
  <c r="H65" i="1" s="1"/>
  <c r="AJ455" i="5"/>
  <c r="AJ239" i="5"/>
  <c r="V127" i="5"/>
  <c r="U127" i="5"/>
  <c r="AJ207" i="5"/>
  <c r="AJ47" i="5"/>
  <c r="V111" i="5"/>
  <c r="U202" i="5"/>
  <c r="U78" i="5"/>
  <c r="V157" i="5"/>
  <c r="U157" i="5"/>
  <c r="V238" i="5"/>
  <c r="U178" i="5"/>
  <c r="AJ488" i="5"/>
  <c r="AJ320" i="5"/>
  <c r="AJ264" i="5"/>
  <c r="U144" i="5"/>
  <c r="V144" i="5"/>
  <c r="AI192" i="5"/>
  <c r="AJ48" i="5"/>
  <c r="AJ72" i="5"/>
  <c r="AJ96" i="5"/>
  <c r="AJ489" i="5"/>
  <c r="AJ113" i="5"/>
  <c r="AI457" i="5"/>
  <c r="AH457" i="5"/>
  <c r="AJ83" i="5"/>
  <c r="AJ313" i="5"/>
  <c r="AJ353" i="5"/>
  <c r="B174" i="2"/>
  <c r="B175" i="2"/>
  <c r="H54" i="1"/>
  <c r="AJ299" i="5"/>
  <c r="AJ211" i="5"/>
  <c r="AI364" i="5"/>
  <c r="AH364" i="5"/>
  <c r="AI166" i="5"/>
  <c r="AH82" i="5"/>
  <c r="AH528" i="5"/>
  <c r="AH386" i="5"/>
  <c r="AH276" i="5"/>
  <c r="AI276" i="5"/>
  <c r="AH141" i="5"/>
  <c r="AI141" i="5"/>
  <c r="AH551" i="5"/>
  <c r="AI551" i="5"/>
  <c r="AI270" i="5"/>
  <c r="AH270" i="5"/>
  <c r="AI173" i="5"/>
  <c r="AH173" i="5"/>
  <c r="AH350" i="5"/>
  <c r="AH290" i="5"/>
  <c r="AI274" i="5"/>
  <c r="AI26" i="5"/>
  <c r="AI346" i="5"/>
  <c r="AI313" i="5"/>
  <c r="AH313" i="5"/>
  <c r="AI273" i="5"/>
  <c r="AH54" i="5"/>
  <c r="AN446" i="5"/>
  <c r="AS122" i="4"/>
  <c r="U122" i="4"/>
  <c r="U33" i="4"/>
  <c r="AJ525" i="5"/>
  <c r="AJ431" i="5"/>
  <c r="AJ335" i="5"/>
  <c r="AJ295" i="5"/>
  <c r="AJ127" i="5"/>
  <c r="AJ143" i="5"/>
  <c r="V175" i="5"/>
  <c r="U175" i="5"/>
  <c r="AJ79" i="5"/>
  <c r="U198" i="5"/>
  <c r="V198" i="5"/>
  <c r="U65" i="5"/>
  <c r="V65" i="5"/>
  <c r="U218" i="5"/>
  <c r="V218" i="5"/>
  <c r="V73" i="5"/>
  <c r="U73" i="5"/>
  <c r="U193" i="5"/>
  <c r="V193" i="5"/>
  <c r="U122" i="5"/>
  <c r="V122" i="5"/>
  <c r="U58" i="5"/>
  <c r="AJ360" i="5"/>
  <c r="AJ272" i="5"/>
  <c r="AJ312" i="5"/>
  <c r="V42" i="4"/>
  <c r="V122" i="4"/>
  <c r="AJ107" i="5"/>
  <c r="AJ403" i="5"/>
  <c r="AO395" i="5"/>
  <c r="AJ467" i="5"/>
  <c r="AJ339" i="5"/>
  <c r="AJ119" i="5"/>
  <c r="AF539" i="5"/>
  <c r="AF448" i="5"/>
  <c r="AF467" i="5"/>
  <c r="AF256" i="5"/>
  <c r="AF511" i="5"/>
  <c r="AF248" i="5"/>
  <c r="AF298" i="5"/>
  <c r="AF444" i="5"/>
  <c r="AF281" i="5"/>
  <c r="AF398" i="5"/>
  <c r="AF523" i="5"/>
  <c r="AF526" i="5"/>
  <c r="AF293" i="5"/>
  <c r="AF207" i="5"/>
  <c r="AF81" i="5"/>
  <c r="AF455" i="5"/>
  <c r="AF364" i="5"/>
  <c r="AF313" i="5"/>
  <c r="AF128" i="5"/>
  <c r="AF544" i="5"/>
  <c r="AF488" i="5"/>
  <c r="AF473" i="5"/>
  <c r="AF459" i="5"/>
  <c r="AF434" i="5"/>
  <c r="AF306" i="5"/>
  <c r="AF272" i="5"/>
  <c r="AF205" i="5"/>
  <c r="AF132" i="5"/>
  <c r="AF27" i="5"/>
  <c r="AF525" i="5"/>
  <c r="AF520" i="5"/>
  <c r="AF512" i="5"/>
  <c r="AF516" i="5"/>
  <c r="AF320" i="5"/>
  <c r="AF265" i="5"/>
  <c r="AF304" i="5"/>
  <c r="AF173" i="5"/>
  <c r="AF64" i="5"/>
  <c r="AF46" i="5"/>
  <c r="AF93" i="5"/>
  <c r="AF167" i="5"/>
  <c r="AF213" i="5"/>
  <c r="AF266" i="5"/>
  <c r="AF288" i="5"/>
  <c r="AF331" i="5"/>
  <c r="AF393" i="5"/>
  <c r="AF383" i="5"/>
  <c r="AF413" i="5"/>
  <c r="AF490" i="5"/>
  <c r="AF79" i="5"/>
  <c r="AF155" i="5"/>
  <c r="AF186" i="5"/>
  <c r="AF194" i="5"/>
  <c r="AF311" i="5"/>
  <c r="AF247" i="5"/>
  <c r="AF277" i="5"/>
  <c r="AF257" i="5"/>
  <c r="AF335" i="5"/>
  <c r="AF406" i="5"/>
  <c r="AF134" i="5"/>
  <c r="AF117" i="5"/>
  <c r="AF74" i="5"/>
  <c r="AF40" i="5"/>
  <c r="AF130" i="5"/>
  <c r="AF121" i="5"/>
  <c r="AF160" i="5"/>
  <c r="AF75" i="5"/>
  <c r="AF44" i="5"/>
  <c r="AF7" i="5"/>
  <c r="AF9" i="5"/>
  <c r="AF430" i="5"/>
  <c r="AF362" i="5"/>
  <c r="AF514" i="5"/>
  <c r="AF316" i="5"/>
  <c r="AF461" i="5"/>
  <c r="AF318" i="5"/>
  <c r="AF228" i="5"/>
  <c r="AF478" i="5"/>
  <c r="AF250" i="5"/>
  <c r="AF513" i="5"/>
  <c r="AF500" i="5"/>
  <c r="AF485" i="5"/>
  <c r="AF330" i="5"/>
  <c r="AF157" i="5"/>
  <c r="AF70" i="5"/>
  <c r="AF426" i="5"/>
  <c r="AF377" i="5"/>
  <c r="AF227" i="5"/>
  <c r="AF54" i="5"/>
  <c r="AF518" i="5"/>
  <c r="AF429" i="5"/>
  <c r="AF463" i="5"/>
  <c r="AF439" i="5"/>
  <c r="AF397" i="5"/>
  <c r="AF208" i="5"/>
  <c r="AF215" i="5"/>
  <c r="AF240" i="5"/>
  <c r="AF144" i="5"/>
  <c r="AF550" i="5"/>
  <c r="AF451" i="5"/>
  <c r="AF506" i="5"/>
  <c r="AF498" i="5"/>
  <c r="AF496" i="5"/>
  <c r="AF402" i="5"/>
  <c r="AF350" i="5"/>
  <c r="AF278" i="5"/>
  <c r="AF159" i="5"/>
  <c r="AF63" i="5"/>
  <c r="AF33" i="5"/>
  <c r="AF116" i="5"/>
  <c r="AF164" i="5"/>
  <c r="AF225" i="5"/>
  <c r="AF279" i="5"/>
  <c r="AF303" i="5"/>
  <c r="AF352" i="5"/>
  <c r="AF409" i="5"/>
  <c r="AF404" i="5"/>
  <c r="AF336" i="5"/>
  <c r="AF39" i="5"/>
  <c r="AF96" i="5"/>
  <c r="AF127" i="5"/>
  <c r="AF216" i="5"/>
  <c r="AF203" i="5"/>
  <c r="AF327" i="5"/>
  <c r="AF268" i="5"/>
  <c r="AF324" i="5"/>
  <c r="AF295" i="5"/>
  <c r="AF357" i="5"/>
  <c r="AF433" i="5"/>
  <c r="AF182" i="5"/>
  <c r="AF107" i="5"/>
  <c r="AF78" i="5"/>
  <c r="AF42" i="5"/>
  <c r="AF172" i="5"/>
  <c r="AF103" i="5"/>
  <c r="AF142" i="5"/>
  <c r="AF35" i="5"/>
  <c r="AF37" i="5"/>
  <c r="AF12" i="5"/>
  <c r="AF471" i="5"/>
  <c r="AF243" i="5"/>
  <c r="AF517" i="5"/>
  <c r="AF199" i="5"/>
  <c r="AF437" i="5"/>
  <c r="AF235" i="5"/>
  <c r="AF510" i="5"/>
  <c r="AF483" i="5"/>
  <c r="AF146" i="5"/>
  <c r="AF559" i="5"/>
  <c r="AF446" i="5"/>
  <c r="AF412" i="5"/>
  <c r="AF285" i="5"/>
  <c r="AF91" i="5"/>
  <c r="AF560" i="5"/>
  <c r="AF468" i="5"/>
  <c r="AF332" i="5"/>
  <c r="AF226" i="5"/>
  <c r="AF55" i="5"/>
  <c r="AF541" i="5"/>
  <c r="AF545" i="5"/>
  <c r="AF432" i="5"/>
  <c r="AF536" i="5"/>
  <c r="AF389" i="5"/>
  <c r="AF372" i="5"/>
  <c r="AF261" i="5"/>
  <c r="AF187" i="5"/>
  <c r="AF109" i="5"/>
  <c r="AF549" i="5"/>
  <c r="AF499" i="5"/>
  <c r="AF476" i="5"/>
  <c r="AF462" i="5"/>
  <c r="AF435" i="5"/>
  <c r="AF309" i="5"/>
  <c r="AF275" i="5"/>
  <c r="AF210" i="5"/>
  <c r="AF136" i="5"/>
  <c r="AF28" i="5"/>
  <c r="AF71" i="5"/>
  <c r="AF153" i="5"/>
  <c r="AF179" i="5"/>
  <c r="AF177" i="5"/>
  <c r="AF308" i="5"/>
  <c r="AF234" i="5"/>
  <c r="AF274" i="5"/>
  <c r="AF254" i="5"/>
  <c r="AF334" i="5"/>
  <c r="AF403" i="5"/>
  <c r="AF41" i="5"/>
  <c r="AF106" i="5"/>
  <c r="AF181" i="5"/>
  <c r="AF178" i="5"/>
  <c r="AF237" i="5"/>
  <c r="AF259" i="5"/>
  <c r="AF305" i="5"/>
  <c r="AF368" i="5"/>
  <c r="AF347" i="5"/>
  <c r="AF384" i="5"/>
  <c r="AF458" i="5"/>
  <c r="AF143" i="5"/>
  <c r="AF124" i="5"/>
  <c r="AF66" i="5"/>
  <c r="AF211" i="5"/>
  <c r="AF122" i="5"/>
  <c r="AF147" i="5"/>
  <c r="AF99" i="5"/>
  <c r="AF53" i="5"/>
  <c r="AF36" i="5"/>
  <c r="AF13" i="5"/>
  <c r="AF537" i="5"/>
  <c r="AF540" i="5"/>
  <c r="AF415" i="5"/>
  <c r="AF151" i="5"/>
  <c r="AF501" i="5"/>
  <c r="AF180" i="5"/>
  <c r="AF547" i="5"/>
  <c r="AF408" i="5"/>
  <c r="AF24" i="5"/>
  <c r="AF548" i="5"/>
  <c r="AF223" i="5"/>
  <c r="AF338" i="5"/>
  <c r="AF319" i="5"/>
  <c r="AF92" i="5"/>
  <c r="AF502" i="5"/>
  <c r="AF424" i="5"/>
  <c r="AF428" i="5"/>
  <c r="AF233" i="5"/>
  <c r="AF67" i="5"/>
  <c r="AF557" i="5"/>
  <c r="AF528" i="5"/>
  <c r="AF345" i="5"/>
  <c r="AF527" i="5"/>
  <c r="AF363" i="5"/>
  <c r="AF340" i="5"/>
  <c r="AF328" i="5"/>
  <c r="AF220" i="5"/>
  <c r="AF98" i="5"/>
  <c r="AF538" i="5"/>
  <c r="AF431" i="5"/>
  <c r="AF465" i="5"/>
  <c r="AF452" i="5"/>
  <c r="AF400" i="5"/>
  <c r="AF239" i="5"/>
  <c r="AF218" i="5"/>
  <c r="AF139" i="5"/>
  <c r="AF150" i="5"/>
  <c r="AF32" i="5"/>
  <c r="AF87" i="5"/>
  <c r="AF114" i="5"/>
  <c r="AF209" i="5"/>
  <c r="AF202" i="5"/>
  <c r="AF325" i="5"/>
  <c r="AF267" i="5"/>
  <c r="AF301" i="5"/>
  <c r="AF283" i="5"/>
  <c r="AF346" i="5"/>
  <c r="AF425" i="5"/>
  <c r="AF60" i="5"/>
  <c r="AF148" i="5"/>
  <c r="AF137" i="5"/>
  <c r="AF195" i="5"/>
  <c r="AF246" i="5"/>
  <c r="AF271" i="5"/>
  <c r="AF326" i="5"/>
  <c r="AF386" i="5"/>
  <c r="AF369" i="5"/>
  <c r="AF399" i="5"/>
  <c r="AF475" i="5"/>
  <c r="AF115" i="5"/>
  <c r="AF104" i="5"/>
  <c r="AF47" i="5"/>
  <c r="AF189" i="5"/>
  <c r="AF184" i="5"/>
  <c r="AF133" i="5"/>
  <c r="AF100" i="5"/>
  <c r="AF30" i="5"/>
  <c r="AF45" i="5"/>
  <c r="AF11" i="5"/>
  <c r="AF534" i="5"/>
  <c r="AF531" i="5"/>
  <c r="AF337" i="5"/>
  <c r="AF494" i="5"/>
  <c r="AF382" i="5"/>
  <c r="AF89" i="5"/>
  <c r="AF551" i="5"/>
  <c r="AF373" i="5"/>
  <c r="AF553" i="5"/>
  <c r="AF552" i="5"/>
  <c r="AF480" i="5"/>
  <c r="AF375" i="5"/>
  <c r="AF258" i="5"/>
  <c r="AF23" i="5"/>
  <c r="AF535" i="5"/>
  <c r="AF533" i="5"/>
  <c r="AF355" i="5"/>
  <c r="AF242" i="5"/>
  <c r="AF20" i="5"/>
  <c r="AF508" i="5"/>
  <c r="AF519" i="5"/>
  <c r="AF507" i="5"/>
  <c r="AF515" i="5"/>
  <c r="AF314" i="5"/>
  <c r="AF260" i="5"/>
  <c r="AF299" i="5"/>
  <c r="AF82" i="5"/>
  <c r="AF29" i="5"/>
  <c r="AF443" i="5"/>
  <c r="AF374" i="5"/>
  <c r="AF454" i="5"/>
  <c r="AF423" i="5"/>
  <c r="AF263" i="5"/>
  <c r="AF407" i="5"/>
  <c r="AF300" i="5"/>
  <c r="AF222" i="5"/>
  <c r="AF111" i="5"/>
  <c r="AF34" i="5"/>
  <c r="AF84" i="5"/>
  <c r="AF145" i="5"/>
  <c r="AF229" i="5"/>
  <c r="AF214" i="5"/>
  <c r="AF171" i="5"/>
  <c r="AF284" i="5"/>
  <c r="AF349" i="5"/>
  <c r="AF312" i="5"/>
  <c r="AF370" i="5"/>
  <c r="AF436" i="5"/>
  <c r="AF49" i="5"/>
  <c r="AF102" i="5"/>
  <c r="AF175" i="5"/>
  <c r="AF217" i="5"/>
  <c r="AF270" i="5"/>
  <c r="AF291" i="5"/>
  <c r="AF341" i="5"/>
  <c r="AF396" i="5"/>
  <c r="AF385" i="5"/>
  <c r="AF416" i="5"/>
  <c r="AF174" i="5"/>
  <c r="AF88" i="5"/>
  <c r="AF95" i="5"/>
  <c r="AF65" i="5"/>
  <c r="AF158" i="5"/>
  <c r="AF169" i="5"/>
  <c r="AF125" i="5"/>
  <c r="AF83" i="5"/>
  <c r="AF58" i="5"/>
  <c r="AF482" i="5"/>
  <c r="AF487" i="5"/>
  <c r="AF90" i="5"/>
  <c r="AF481" i="5"/>
  <c r="AF280" i="5"/>
  <c r="AF19" i="5"/>
  <c r="AF294" i="5"/>
  <c r="AF356" i="5"/>
  <c r="AF421" i="5"/>
  <c r="AF310" i="5"/>
  <c r="AF59" i="5"/>
  <c r="AF492" i="5"/>
  <c r="AF365" i="5"/>
  <c r="AF190" i="5"/>
  <c r="AF73" i="5"/>
  <c r="AF191" i="5"/>
  <c r="AF302" i="5"/>
  <c r="AF418" i="5"/>
  <c r="AF77" i="5"/>
  <c r="AF230" i="5"/>
  <c r="AF290" i="5"/>
  <c r="AF249" i="5"/>
  <c r="AF149" i="5"/>
  <c r="AF21" i="5"/>
  <c r="AF105" i="5"/>
  <c r="AF245" i="5"/>
  <c r="AF427" i="5"/>
  <c r="AF555" i="5"/>
  <c r="AF543" i="5"/>
  <c r="AF391" i="5"/>
  <c r="AF509" i="5"/>
  <c r="AF286" i="5"/>
  <c r="AF530" i="5"/>
  <c r="AF491" i="5"/>
  <c r="AF296" i="5"/>
  <c r="AF50" i="5"/>
  <c r="AF440" i="5"/>
  <c r="AF353" i="5"/>
  <c r="AF224" i="5"/>
  <c r="AF94" i="5"/>
  <c r="AF236" i="5"/>
  <c r="AF321" i="5"/>
  <c r="AF380" i="5"/>
  <c r="AF86" i="5"/>
  <c r="AF238" i="5"/>
  <c r="AF358" i="5"/>
  <c r="AF371" i="5"/>
  <c r="AF131" i="5"/>
  <c r="AF192" i="5"/>
  <c r="AF85" i="5"/>
  <c r="AF445" i="5"/>
  <c r="AF505" i="5"/>
  <c r="AF495" i="5"/>
  <c r="AF469" i="5"/>
  <c r="AF262" i="5"/>
  <c r="AF479" i="5"/>
  <c r="AF176" i="5"/>
  <c r="AF322" i="5"/>
  <c r="AF460" i="5"/>
  <c r="AF276" i="5"/>
  <c r="AF493" i="5"/>
  <c r="AF420" i="5"/>
  <c r="AF376" i="5"/>
  <c r="AF108" i="5"/>
  <c r="AF126" i="5"/>
  <c r="AF231" i="5"/>
  <c r="AF252" i="5"/>
  <c r="AF395" i="5"/>
  <c r="AF123" i="5"/>
  <c r="AF219" i="5"/>
  <c r="AF255" i="5"/>
  <c r="AF348" i="5"/>
  <c r="AF156" i="5"/>
  <c r="AF168" i="5"/>
  <c r="AF97" i="5"/>
  <c r="AF10" i="5"/>
  <c r="AF521" i="5"/>
  <c r="AF417" i="5"/>
  <c r="AF366" i="5"/>
  <c r="AF556" i="5"/>
  <c r="AF197" i="5"/>
  <c r="AF504" i="5"/>
  <c r="AF161" i="5"/>
  <c r="AF503" i="5"/>
  <c r="AF419" i="5"/>
  <c r="AF241" i="5"/>
  <c r="AF542" i="5"/>
  <c r="AF477" i="5"/>
  <c r="AF342" i="5"/>
  <c r="AF101" i="5"/>
  <c r="AF135" i="5"/>
  <c r="AF201" i="5"/>
  <c r="AF367" i="5"/>
  <c r="AF388" i="5"/>
  <c r="AF140" i="5"/>
  <c r="AF282" i="5"/>
  <c r="AF354" i="5"/>
  <c r="AF394" i="5"/>
  <c r="AF57" i="5"/>
  <c r="AF152" i="5"/>
  <c r="AF48" i="5"/>
  <c r="AF31" i="5"/>
  <c r="AF453" i="5"/>
  <c r="AF438" i="5"/>
  <c r="AF387" i="5"/>
  <c r="AF470" i="5"/>
  <c r="AF212" i="5"/>
  <c r="AF497" i="5"/>
  <c r="AF68" i="5"/>
  <c r="AF484" i="5"/>
  <c r="AF390" i="5"/>
  <c r="AF221" i="5"/>
  <c r="AF558" i="5"/>
  <c r="AF359" i="5"/>
  <c r="AF317" i="5"/>
  <c r="AF80" i="5"/>
  <c r="AF170" i="5"/>
  <c r="AF292" i="5"/>
  <c r="AF381" i="5"/>
  <c r="AF456" i="5"/>
  <c r="AF120" i="5"/>
  <c r="AF297" i="5"/>
  <c r="AF410" i="5"/>
  <c r="AF442" i="5"/>
  <c r="AF61" i="5"/>
  <c r="AF138" i="5"/>
  <c r="AF76" i="5"/>
  <c r="AF8" i="5"/>
  <c r="AF273" i="5"/>
  <c r="AF289" i="5"/>
  <c r="AF329" i="5"/>
  <c r="AF457" i="5"/>
  <c r="AF113" i="5"/>
  <c r="AF447" i="5"/>
  <c r="AF524" i="5"/>
  <c r="AF449" i="5"/>
  <c r="AF351" i="5"/>
  <c r="AF185" i="5"/>
  <c r="AF546" i="5"/>
  <c r="AF532" i="5"/>
  <c r="AF264" i="5"/>
  <c r="AF51" i="5"/>
  <c r="AF119" i="5"/>
  <c r="AF253" i="5"/>
  <c r="AF441" i="5"/>
  <c r="AF472" i="5"/>
  <c r="AF166" i="5"/>
  <c r="AF183" i="5"/>
  <c r="AF193" i="5"/>
  <c r="AF118" i="5"/>
  <c r="AF69" i="5"/>
  <c r="AF141" i="5"/>
  <c r="AF72" i="5"/>
  <c r="AF522" i="5"/>
  <c r="AF287" i="5"/>
  <c r="AF379" i="5"/>
  <c r="AF206" i="5"/>
  <c r="AF378" i="5"/>
  <c r="AF165" i="5"/>
  <c r="AF414" i="5"/>
  <c r="AF489" i="5"/>
  <c r="AF486" i="5"/>
  <c r="AF405" i="5"/>
  <c r="AF188" i="5"/>
  <c r="AF554" i="5"/>
  <c r="AF464" i="5"/>
  <c r="AF333" i="5"/>
  <c r="AF26" i="5"/>
  <c r="AF200" i="5"/>
  <c r="AF269" i="5"/>
  <c r="AF343" i="5"/>
  <c r="AF43" i="5"/>
  <c r="AF204" i="5"/>
  <c r="AF307" i="5"/>
  <c r="AF315" i="5"/>
  <c r="AF162" i="5"/>
  <c r="AF52" i="5"/>
  <c r="AF154" i="5"/>
  <c r="AF62" i="5"/>
  <c r="AF466" i="5"/>
  <c r="AF196" i="5"/>
  <c r="AF339" i="5"/>
  <c r="AF450" i="5"/>
  <c r="AF422" i="5"/>
  <c r="AF129" i="5"/>
  <c r="AF360" i="5"/>
  <c r="AF401" i="5"/>
  <c r="AF474" i="5"/>
  <c r="AF344" i="5"/>
  <c r="AF110" i="5"/>
  <c r="AF529" i="5"/>
  <c r="AF392" i="5"/>
  <c r="AF244" i="5"/>
  <c r="AF56" i="5"/>
  <c r="AF251" i="5"/>
  <c r="AF323" i="5"/>
  <c r="AF361" i="5"/>
  <c r="AF38" i="5"/>
  <c r="AF232" i="5"/>
  <c r="AF198" i="5"/>
  <c r="AF411" i="5"/>
  <c r="AF163" i="5"/>
  <c r="AF25" i="5"/>
  <c r="AF112" i="5"/>
  <c r="AF22" i="5"/>
  <c r="AI462" i="5"/>
  <c r="AH462" i="5"/>
  <c r="AI486" i="5"/>
  <c r="AI524" i="5"/>
  <c r="AH524" i="5"/>
  <c r="AH417" i="5"/>
  <c r="AI417" i="5"/>
  <c r="AS83" i="4"/>
  <c r="U83" i="4"/>
  <c r="AS90" i="4"/>
  <c r="V90" i="4"/>
  <c r="U90" i="4"/>
  <c r="AS17" i="4"/>
  <c r="U17" i="4"/>
  <c r="V17" i="4"/>
  <c r="V156" i="4"/>
  <c r="AS156" i="4"/>
  <c r="U156" i="4"/>
  <c r="U139" i="4"/>
  <c r="AS139" i="4"/>
  <c r="V139" i="4"/>
  <c r="U146" i="4"/>
  <c r="AS136" i="4"/>
  <c r="U136" i="4"/>
  <c r="AO431" i="5"/>
  <c r="AI495" i="5"/>
  <c r="AH495" i="5"/>
  <c r="AJ367" i="5"/>
  <c r="AJ223" i="5"/>
  <c r="AJ303" i="5"/>
  <c r="AJ111" i="5"/>
  <c r="V179" i="5"/>
  <c r="U179" i="5"/>
  <c r="U49" i="5"/>
  <c r="V49" i="5"/>
  <c r="U197" i="5"/>
  <c r="V197" i="5"/>
  <c r="U68" i="5"/>
  <c r="V68" i="5"/>
  <c r="U148" i="5"/>
  <c r="V148" i="5"/>
  <c r="AJ7" i="5"/>
  <c r="AG7" i="5"/>
  <c r="AM7" i="5"/>
  <c r="T7" i="5"/>
  <c r="Q7" i="5"/>
  <c r="W7" i="5"/>
  <c r="AJ368" i="5"/>
  <c r="AJ416" i="5"/>
  <c r="AJ240" i="5"/>
  <c r="AJ144" i="5"/>
  <c r="U200" i="5"/>
  <c r="V200" i="5"/>
  <c r="AJ32" i="5"/>
  <c r="AJ56" i="5"/>
  <c r="V50" i="4"/>
  <c r="V131" i="4"/>
  <c r="AH387" i="5"/>
  <c r="AJ97" i="5"/>
  <c r="AJ459" i="5"/>
  <c r="AJ541" i="5"/>
  <c r="AJ35" i="5"/>
  <c r="AJ99" i="5"/>
  <c r="AJ8" i="5"/>
  <c r="AI540" i="5"/>
  <c r="AN293" i="5"/>
  <c r="V51" i="4"/>
  <c r="AS51" i="4"/>
  <c r="U51" i="4"/>
  <c r="U58" i="4"/>
  <c r="AS117" i="4"/>
  <c r="V124" i="4"/>
  <c r="AS124" i="4"/>
  <c r="U124" i="4"/>
  <c r="AS107" i="4"/>
  <c r="U107" i="4"/>
  <c r="V107" i="4"/>
  <c r="AS114" i="4"/>
  <c r="U114" i="4"/>
  <c r="U104" i="4"/>
  <c r="V113" i="4"/>
  <c r="AS113" i="4"/>
  <c r="U113" i="4"/>
  <c r="AJ439" i="5"/>
  <c r="AJ311" i="5"/>
  <c r="AJ183" i="5"/>
  <c r="AJ55" i="5"/>
  <c r="V278" i="5"/>
  <c r="U62" i="5"/>
  <c r="V62" i="5"/>
  <c r="U209" i="5"/>
  <c r="V209" i="5"/>
  <c r="U29" i="5"/>
  <c r="V29" i="5"/>
  <c r="AJ432" i="5"/>
  <c r="AJ328" i="5"/>
  <c r="AJ224" i="5"/>
  <c r="AJ280" i="5"/>
  <c r="U120" i="5"/>
  <c r="V120" i="5"/>
  <c r="AJ152" i="5"/>
  <c r="AJ200" i="5"/>
  <c r="AJ40" i="5"/>
  <c r="AJ88" i="5"/>
  <c r="AJ217" i="5"/>
  <c r="V114" i="4"/>
  <c r="AH455" i="5" l="1"/>
  <c r="AH390" i="5"/>
  <c r="AI87" i="5"/>
  <c r="AI233" i="5"/>
  <c r="AH221" i="5"/>
  <c r="AN549" i="5"/>
  <c r="AI487" i="5"/>
  <c r="AI381" i="5"/>
  <c r="AH159" i="5"/>
  <c r="AH72" i="5"/>
  <c r="AH284" i="5"/>
  <c r="AH460" i="5"/>
  <c r="AI144" i="5"/>
  <c r="AH157" i="5"/>
  <c r="AH222" i="5"/>
  <c r="AH232" i="5"/>
  <c r="AH549" i="5"/>
  <c r="AI210" i="5"/>
  <c r="AI146" i="5"/>
  <c r="AH464" i="5"/>
  <c r="AH258" i="5"/>
  <c r="AH25" i="5"/>
  <c r="AH498" i="5"/>
  <c r="AH535" i="5"/>
  <c r="AO359" i="5"/>
  <c r="AI278" i="5"/>
  <c r="AI428" i="5"/>
  <c r="AI240" i="5"/>
  <c r="AN454" i="5"/>
  <c r="AO133" i="5"/>
  <c r="AH217" i="5"/>
  <c r="AH175" i="5"/>
  <c r="AH525" i="5"/>
  <c r="AI307" i="5"/>
  <c r="AI335" i="5"/>
  <c r="AI547" i="5"/>
  <c r="AI131" i="5"/>
  <c r="AI55" i="5"/>
  <c r="AH56" i="5"/>
  <c r="AH338" i="5"/>
  <c r="AI382" i="5"/>
  <c r="AI493" i="5"/>
  <c r="AH450" i="5"/>
  <c r="AH491" i="5"/>
  <c r="AI384" i="5"/>
  <c r="AI219" i="5"/>
  <c r="AH341" i="5"/>
  <c r="AI472" i="5"/>
  <c r="AH31" i="5"/>
  <c r="AH304" i="5"/>
  <c r="AH110" i="5"/>
  <c r="AI267" i="5"/>
  <c r="AH319" i="5"/>
  <c r="AI176" i="5"/>
  <c r="AH245" i="5"/>
  <c r="AI287" i="5"/>
  <c r="AI202" i="5"/>
  <c r="AH133" i="5"/>
  <c r="AH257" i="5"/>
  <c r="AI536" i="5"/>
  <c r="AI264" i="5"/>
  <c r="AH452" i="5"/>
  <c r="AN388" i="5"/>
  <c r="AN113" i="5"/>
  <c r="AO335" i="5"/>
  <c r="AN130" i="5"/>
  <c r="AO410" i="5"/>
  <c r="AO324" i="5"/>
  <c r="AO322" i="5"/>
  <c r="AN189" i="5"/>
  <c r="AN354" i="5"/>
  <c r="AH182" i="5"/>
  <c r="AI80" i="5"/>
  <c r="AI420" i="5"/>
  <c r="U26" i="4"/>
  <c r="AS16" i="4"/>
  <c r="AS134" i="4"/>
  <c r="V87" i="4"/>
  <c r="W87" i="4" s="1"/>
  <c r="Y87" i="4" s="1"/>
  <c r="U131" i="4"/>
  <c r="AH131" i="4" s="1"/>
  <c r="U108" i="4"/>
  <c r="V96" i="4"/>
  <c r="AM96" i="4" s="1"/>
  <c r="AN96" i="4" s="1"/>
  <c r="AS24" i="4"/>
  <c r="AS120" i="4"/>
  <c r="AS82" i="4"/>
  <c r="AS148" i="4"/>
  <c r="AS22" i="4"/>
  <c r="U8" i="4"/>
  <c r="AH8" i="4" s="1"/>
  <c r="V136" i="4"/>
  <c r="W136" i="4" s="1"/>
  <c r="Y136" i="4" s="1"/>
  <c r="Z136" i="4" s="1"/>
  <c r="AF136" i="4" s="1"/>
  <c r="AS43" i="4"/>
  <c r="V82" i="4"/>
  <c r="W82" i="4" s="1"/>
  <c r="Y82" i="4" s="1"/>
  <c r="Z82" i="4" s="1"/>
  <c r="AF82" i="4" s="1"/>
  <c r="V45" i="4"/>
  <c r="AS108" i="4"/>
  <c r="V143" i="4"/>
  <c r="W143" i="4" s="1"/>
  <c r="Y143" i="4" s="1"/>
  <c r="Z143" i="4" s="1"/>
  <c r="U138" i="4"/>
  <c r="AH138" i="4" s="1"/>
  <c r="V98" i="4"/>
  <c r="W98" i="4" s="1"/>
  <c r="Y98" i="4" s="1"/>
  <c r="AS104" i="4"/>
  <c r="V28" i="4"/>
  <c r="U28" i="4"/>
  <c r="AH28" i="4" s="1"/>
  <c r="AS80" i="4"/>
  <c r="U154" i="4"/>
  <c r="AS138" i="4"/>
  <c r="AS129" i="4"/>
  <c r="V81" i="4"/>
  <c r="AM81" i="4" s="1"/>
  <c r="AN81" i="4" s="1"/>
  <c r="AS54" i="4"/>
  <c r="U80" i="4"/>
  <c r="AS81" i="4"/>
  <c r="V104" i="4"/>
  <c r="AS28" i="4"/>
  <c r="V149" i="4"/>
  <c r="AM149" i="4" s="1"/>
  <c r="AN149" i="4" s="1"/>
  <c r="V80" i="4"/>
  <c r="AM80" i="4" s="1"/>
  <c r="AN80" i="4" s="1"/>
  <c r="AS154" i="4"/>
  <c r="U56" i="4"/>
  <c r="AH56" i="4" s="1"/>
  <c r="V120" i="4"/>
  <c r="U72" i="4"/>
  <c r="AH72" i="4" s="1"/>
  <c r="U152" i="4"/>
  <c r="AS8" i="4"/>
  <c r="U54" i="4"/>
  <c r="AH54" i="4" s="1"/>
  <c r="U96" i="4"/>
  <c r="AH96" i="4" s="1"/>
  <c r="AH205" i="5"/>
  <c r="AN510" i="5"/>
  <c r="AI432" i="5"/>
  <c r="AH348" i="5"/>
  <c r="AH45" i="5"/>
  <c r="AI392" i="5"/>
  <c r="AI262" i="5"/>
  <c r="AI444" i="5"/>
  <c r="AN492" i="5"/>
  <c r="AH234" i="5"/>
  <c r="AI427" i="5"/>
  <c r="AH91" i="5"/>
  <c r="AH516" i="5"/>
  <c r="AI229" i="5"/>
  <c r="AH485" i="5"/>
  <c r="AI497" i="5"/>
  <c r="AI19" i="5"/>
  <c r="AH418" i="5"/>
  <c r="AI187" i="5"/>
  <c r="AI206" i="5"/>
  <c r="AH292" i="5"/>
  <c r="AN105" i="5"/>
  <c r="AN155" i="5"/>
  <c r="AN200" i="5"/>
  <c r="AO500" i="5"/>
  <c r="AH42" i="5"/>
  <c r="AN258" i="5"/>
  <c r="AO540" i="5"/>
  <c r="AH470" i="5"/>
  <c r="AI400" i="5"/>
  <c r="AH454" i="5"/>
  <c r="AH104" i="5"/>
  <c r="AI140" i="5"/>
  <c r="AH506" i="5"/>
  <c r="AH208" i="5"/>
  <c r="AH482" i="5"/>
  <c r="AH92" i="5"/>
  <c r="AH128" i="5"/>
  <c r="AI355" i="5"/>
  <c r="AH29" i="5"/>
  <c r="AI41" i="5"/>
  <c r="AH70" i="5"/>
  <c r="AI544" i="5"/>
  <c r="AI434" i="5"/>
  <c r="AH302" i="5"/>
  <c r="AH153" i="5"/>
  <c r="AI314" i="5"/>
  <c r="AI492" i="5"/>
  <c r="AI252" i="5"/>
  <c r="AH321" i="5"/>
  <c r="AI288" i="5"/>
  <c r="AH517" i="5"/>
  <c r="AI226" i="5"/>
  <c r="AH416" i="5"/>
  <c r="AH318" i="5"/>
  <c r="AI65" i="5"/>
  <c r="AI28" i="5"/>
  <c r="AI283" i="5"/>
  <c r="AI402" i="5"/>
  <c r="AH389" i="5"/>
  <c r="AH461" i="5"/>
  <c r="AI554" i="5"/>
  <c r="AH246" i="5"/>
  <c r="AH272" i="5"/>
  <c r="AH542" i="5"/>
  <c r="AI261" i="5"/>
  <c r="AH352" i="5"/>
  <c r="AH376" i="5"/>
  <c r="AI231" i="5"/>
  <c r="AH409" i="5"/>
  <c r="AH353" i="5"/>
  <c r="AI61" i="5"/>
  <c r="AI312" i="5"/>
  <c r="AI465" i="5"/>
  <c r="AI108" i="5"/>
  <c r="AH177" i="5"/>
  <c r="AN463" i="5"/>
  <c r="AH405" i="5"/>
  <c r="AH301" i="5"/>
  <c r="AI20" i="5"/>
  <c r="AO50" i="5"/>
  <c r="AO168" i="5"/>
  <c r="AI50" i="5"/>
  <c r="AH151" i="5"/>
  <c r="AH393" i="5"/>
  <c r="AH473" i="5"/>
  <c r="AO367" i="5"/>
  <c r="AH443" i="5"/>
  <c r="AH529" i="5"/>
  <c r="AH253" i="5"/>
  <c r="AH145" i="5"/>
  <c r="AH185" i="5"/>
  <c r="AH277" i="5"/>
  <c r="AI158" i="5"/>
  <c r="AI502" i="5"/>
  <c r="AI220" i="5"/>
  <c r="AH357" i="5"/>
  <c r="AI508" i="5"/>
  <c r="AI127" i="5"/>
  <c r="AH340" i="5"/>
  <c r="AH47" i="5"/>
  <c r="AN449" i="5"/>
  <c r="AO260" i="5"/>
  <c r="AH235" i="5"/>
  <c r="AH526" i="5"/>
  <c r="AN173" i="5"/>
  <c r="AI496" i="5"/>
  <c r="AO299" i="5"/>
  <c r="AH451" i="5"/>
  <c r="AH469" i="5"/>
  <c r="AI106" i="5"/>
  <c r="AH311" i="5"/>
  <c r="AN519" i="5"/>
  <c r="AI296" i="5"/>
  <c r="AH197" i="5"/>
  <c r="AH407" i="5"/>
  <c r="AO224" i="5"/>
  <c r="AG12" i="5"/>
  <c r="AI12" i="5" s="1"/>
  <c r="AH48" i="5"/>
  <c r="AI398" i="5"/>
  <c r="AI8" i="5"/>
  <c r="AI93" i="5"/>
  <c r="AI120" i="5"/>
  <c r="AH165" i="5"/>
  <c r="AH422" i="5"/>
  <c r="AH459" i="5"/>
  <c r="AI38" i="5"/>
  <c r="AH380" i="5"/>
  <c r="AH488" i="5"/>
  <c r="AI330" i="5"/>
  <c r="AI214" i="5"/>
  <c r="AH23" i="5"/>
  <c r="AI78" i="5"/>
  <c r="AH510" i="5"/>
  <c r="AH97" i="5"/>
  <c r="AH155" i="5"/>
  <c r="AH391" i="5"/>
  <c r="AH239" i="5"/>
  <c r="AI184" i="5"/>
  <c r="AI437" i="5"/>
  <c r="AH466" i="5"/>
  <c r="AH285" i="5"/>
  <c r="AH425" i="5"/>
  <c r="AH375" i="5"/>
  <c r="AI349" i="5"/>
  <c r="AH243" i="5"/>
  <c r="AH421" i="5"/>
  <c r="AI36" i="5"/>
  <c r="AH201" i="5"/>
  <c r="AI73" i="5"/>
  <c r="AI410" i="5"/>
  <c r="AI139" i="5"/>
  <c r="AI51" i="5"/>
  <c r="AI135" i="5"/>
  <c r="AI81" i="5"/>
  <c r="AI112" i="5"/>
  <c r="AH372" i="5"/>
  <c r="AH299" i="5"/>
  <c r="AI188" i="5"/>
  <c r="AI489" i="5"/>
  <c r="AH111" i="5"/>
  <c r="AH446" i="5"/>
  <c r="AI354" i="5"/>
  <c r="AI99" i="5"/>
  <c r="AH89" i="5"/>
  <c r="AI40" i="5"/>
  <c r="AH179" i="5"/>
  <c r="AI124" i="5"/>
  <c r="AI553" i="5"/>
  <c r="AI320" i="5"/>
  <c r="AH317" i="5"/>
  <c r="AI286" i="5"/>
  <c r="AH474" i="5"/>
  <c r="AI117" i="5"/>
  <c r="AI170" i="5"/>
  <c r="AI539" i="5"/>
  <c r="AI27" i="5"/>
  <c r="AH59" i="5"/>
  <c r="AH505" i="5"/>
  <c r="AI385" i="5"/>
  <c r="AI368" i="5"/>
  <c r="AI449" i="5"/>
  <c r="AI520" i="5"/>
  <c r="AI337" i="5"/>
  <c r="AH138" i="5"/>
  <c r="AI148" i="5"/>
  <c r="AH169" i="5"/>
  <c r="AI88" i="5"/>
  <c r="AH315" i="5"/>
  <c r="AN349" i="5"/>
  <c r="AN156" i="5"/>
  <c r="AH448" i="5"/>
  <c r="AO185" i="5"/>
  <c r="AI62" i="5"/>
  <c r="AH225" i="5"/>
  <c r="AN141" i="5"/>
  <c r="AH303" i="5"/>
  <c r="AH199" i="5"/>
  <c r="AH523" i="5"/>
  <c r="AO306" i="5"/>
  <c r="AH66" i="5"/>
  <c r="AH406" i="5"/>
  <c r="AI168" i="5"/>
  <c r="AH130" i="5"/>
  <c r="AI345" i="5"/>
  <c r="AH142" i="5"/>
  <c r="AO89" i="5"/>
  <c r="AM12" i="5"/>
  <c r="AO12" i="5" s="1"/>
  <c r="AO147" i="5"/>
  <c r="AO85" i="5"/>
  <c r="AN338" i="5"/>
  <c r="AN474" i="5"/>
  <c r="AO534" i="5"/>
  <c r="AN421" i="5"/>
  <c r="AO380" i="5"/>
  <c r="AO543" i="5"/>
  <c r="AN281" i="5"/>
  <c r="AN560" i="5"/>
  <c r="AO32" i="5"/>
  <c r="AO238" i="5"/>
  <c r="AO459" i="5"/>
  <c r="AO79" i="5"/>
  <c r="AO436" i="5"/>
  <c r="AN458" i="5"/>
  <c r="AO162" i="5"/>
  <c r="AN404" i="5"/>
  <c r="AO87" i="5"/>
  <c r="AO394" i="5"/>
  <c r="AI21" i="5"/>
  <c r="AO473" i="5"/>
  <c r="AI484" i="5"/>
  <c r="AN554" i="5"/>
  <c r="AN476" i="5"/>
  <c r="AH504" i="5"/>
  <c r="AI249" i="5"/>
  <c r="AO174" i="5"/>
  <c r="AN131" i="5"/>
  <c r="AN235" i="5"/>
  <c r="AI328" i="5"/>
  <c r="AI351" i="5"/>
  <c r="AO234" i="5"/>
  <c r="AI244" i="5"/>
  <c r="AI534" i="5"/>
  <c r="AH174" i="5"/>
  <c r="AI503" i="5"/>
  <c r="AN207" i="5"/>
  <c r="AH300" i="5"/>
  <c r="AH281" i="5"/>
  <c r="AI63" i="5"/>
  <c r="AN355" i="5"/>
  <c r="AI69" i="5"/>
  <c r="AO392" i="5"/>
  <c r="AN341" i="5"/>
  <c r="AI512" i="5"/>
  <c r="AH426" i="5"/>
  <c r="AH522" i="5"/>
  <c r="AI404" i="5"/>
  <c r="AN136" i="5"/>
  <c r="AI34" i="5"/>
  <c r="AI37" i="5"/>
  <c r="AI136" i="5"/>
  <c r="AH86" i="5"/>
  <c r="AI509" i="5"/>
  <c r="AH297" i="5"/>
  <c r="AH255" i="5"/>
  <c r="AO28" i="5"/>
  <c r="AH557" i="5"/>
  <c r="AN167" i="5"/>
  <c r="AO68" i="5"/>
  <c r="AI439" i="5"/>
  <c r="AI227" i="5"/>
  <c r="AH105" i="5"/>
  <c r="AI196" i="5"/>
  <c r="AI552" i="5"/>
  <c r="AH164" i="5"/>
  <c r="AH198" i="5"/>
  <c r="AI478" i="5"/>
  <c r="AN93" i="5"/>
  <c r="AH32" i="5"/>
  <c r="AI413" i="5"/>
  <c r="AI251" i="5"/>
  <c r="AH147" i="5"/>
  <c r="AH310" i="5"/>
  <c r="AH309" i="5"/>
  <c r="AI77" i="5"/>
  <c r="AI30" i="5"/>
  <c r="AH316" i="5"/>
  <c r="AH209" i="5"/>
  <c r="AI75" i="5"/>
  <c r="AI336" i="5"/>
  <c r="AH514" i="5"/>
  <c r="AH480" i="5"/>
  <c r="AH344" i="5"/>
  <c r="AI415" i="5"/>
  <c r="AH366" i="5"/>
  <c r="AN530" i="5"/>
  <c r="AH211" i="5"/>
  <c r="AI560" i="5"/>
  <c r="AN53" i="5"/>
  <c r="AH463" i="5"/>
  <c r="AH483" i="5"/>
  <c r="AI265" i="5"/>
  <c r="AO302" i="5"/>
  <c r="AH440" i="5"/>
  <c r="AI289" i="5"/>
  <c r="AH441" i="5"/>
  <c r="AH183" i="5"/>
  <c r="AN251" i="5"/>
  <c r="AN285" i="5"/>
  <c r="AN328" i="5"/>
  <c r="AO465" i="5"/>
  <c r="AN159" i="5"/>
  <c r="AN232" i="5"/>
  <c r="AN311" i="5"/>
  <c r="AN475" i="5"/>
  <c r="AO526" i="5"/>
  <c r="AN487" i="5"/>
  <c r="AO455" i="5"/>
  <c r="AO287" i="5"/>
  <c r="AN485" i="5"/>
  <c r="AN27" i="5"/>
  <c r="AO283" i="5"/>
  <c r="AI190" i="5"/>
  <c r="AH371" i="5"/>
  <c r="AI275" i="5"/>
  <c r="AH545" i="5"/>
  <c r="AH94" i="5"/>
  <c r="AI531" i="5"/>
  <c r="AI64" i="5"/>
  <c r="AI22" i="5"/>
  <c r="AH456" i="5"/>
  <c r="AH467" i="5"/>
  <c r="AI362" i="5"/>
  <c r="AI250" i="5"/>
  <c r="AI126" i="5"/>
  <c r="AH347" i="5"/>
  <c r="AH57" i="5"/>
  <c r="AH242" i="5"/>
  <c r="AI186" i="5"/>
  <c r="AI527" i="5"/>
  <c r="AH181" i="5"/>
  <c r="AH447" i="5"/>
  <c r="AH216" i="5"/>
  <c r="AH424" i="5"/>
  <c r="AI107" i="5"/>
  <c r="AH223" i="5"/>
  <c r="AH327" i="5"/>
  <c r="AI49" i="5"/>
  <c r="AH98" i="5"/>
  <c r="AI83" i="5"/>
  <c r="AH558" i="5"/>
  <c r="AI238" i="5"/>
  <c r="AI121" i="5"/>
  <c r="AI513" i="5"/>
  <c r="AH76" i="5"/>
  <c r="AI379" i="5"/>
  <c r="AI291" i="5"/>
  <c r="AH445" i="5"/>
  <c r="AI259" i="5"/>
  <c r="AI248" i="5"/>
  <c r="AH228" i="5"/>
  <c r="AH114" i="5"/>
  <c r="AI555" i="5"/>
  <c r="AH395" i="5"/>
  <c r="AH266" i="5"/>
  <c r="AH96" i="5"/>
  <c r="AI149" i="5"/>
  <c r="AH33" i="5"/>
  <c r="AI453" i="5"/>
  <c r="AH212" i="5"/>
  <c r="AI280" i="5"/>
  <c r="AI333" i="5"/>
  <c r="AH356" i="5"/>
  <c r="AH361" i="5"/>
  <c r="AH501" i="5"/>
  <c r="AH423" i="5"/>
  <c r="AH429" i="5"/>
  <c r="AH134" i="5"/>
  <c r="AI383" i="5"/>
  <c r="AI436" i="5"/>
  <c r="AI269" i="5"/>
  <c r="AI35" i="5"/>
  <c r="AI67" i="5"/>
  <c r="AN332" i="5"/>
  <c r="AN495" i="5"/>
  <c r="AN536" i="5"/>
  <c r="AN347" i="5"/>
  <c r="AN409" i="5"/>
  <c r="AN82" i="5"/>
  <c r="AO326" i="5"/>
  <c r="AN169" i="5"/>
  <c r="AO282" i="5"/>
  <c r="AO556" i="5"/>
  <c r="AO374" i="5"/>
  <c r="AN426" i="5"/>
  <c r="AN289" i="5"/>
  <c r="AO83" i="5"/>
  <c r="AO261" i="5"/>
  <c r="AN39" i="5"/>
  <c r="AI71" i="5"/>
  <c r="AH71" i="5"/>
  <c r="AO334" i="5"/>
  <c r="AI90" i="5"/>
  <c r="AH323" i="5"/>
  <c r="AI84" i="5"/>
  <c r="AO372" i="5"/>
  <c r="AO383" i="5"/>
  <c r="AI556" i="5"/>
  <c r="AO551" i="5"/>
  <c r="AO488" i="5"/>
  <c r="AI532" i="5"/>
  <c r="AH298" i="5"/>
  <c r="AH419" i="5"/>
  <c r="AI154" i="5"/>
  <c r="AN249" i="5"/>
  <c r="AI123" i="5"/>
  <c r="AN434" i="5"/>
  <c r="AO175" i="5"/>
  <c r="AH324" i="5"/>
  <c r="AN47" i="5"/>
  <c r="AN418" i="5"/>
  <c r="AO96" i="5"/>
  <c r="AH103" i="5"/>
  <c r="AN356" i="5"/>
  <c r="AN370" i="5"/>
  <c r="AO278" i="5"/>
  <c r="AN223" i="5"/>
  <c r="AH538" i="5"/>
  <c r="AH200" i="5"/>
  <c r="AI254" i="5"/>
  <c r="AL169" i="5"/>
  <c r="AO521" i="5"/>
  <c r="AI203" i="5"/>
  <c r="AI332" i="5"/>
  <c r="AH533" i="5"/>
  <c r="AI378" i="5"/>
  <c r="AH396" i="5"/>
  <c r="AI363" i="5"/>
  <c r="AI195" i="5"/>
  <c r="AH178" i="5"/>
  <c r="AH194" i="5"/>
  <c r="AH397" i="5"/>
  <c r="AH373" i="5"/>
  <c r="AI180" i="5"/>
  <c r="AH339" i="5"/>
  <c r="AP169" i="5"/>
  <c r="AR169" i="5" s="1"/>
  <c r="AI160" i="5"/>
  <c r="AI499" i="5"/>
  <c r="AI143" i="5"/>
  <c r="AH118" i="5"/>
  <c r="AI189" i="5"/>
  <c r="AH326" i="5"/>
  <c r="AH546" i="5"/>
  <c r="AI102" i="5"/>
  <c r="AH490" i="5"/>
  <c r="AH358" i="5"/>
  <c r="AI548" i="5"/>
  <c r="AI85" i="5"/>
  <c r="AH85" i="5"/>
  <c r="AH113" i="5"/>
  <c r="AH215" i="5"/>
  <c r="AH377" i="5"/>
  <c r="AH518" i="5"/>
  <c r="AI518" i="5"/>
  <c r="AH256" i="5"/>
  <c r="AH44" i="5"/>
  <c r="AI408" i="5"/>
  <c r="AH519" i="5"/>
  <c r="AI401" i="5"/>
  <c r="AI343" i="5"/>
  <c r="AH213" i="5"/>
  <c r="AI60" i="5"/>
  <c r="AH374" i="5"/>
  <c r="AI161" i="5"/>
  <c r="AP51" i="5"/>
  <c r="AR51" i="5" s="1"/>
  <c r="AH237" i="5"/>
  <c r="AI109" i="5"/>
  <c r="AH58" i="5"/>
  <c r="AI129" i="5"/>
  <c r="AI79" i="5"/>
  <c r="AH370" i="5"/>
  <c r="AH394" i="5"/>
  <c r="AH260" i="5"/>
  <c r="AH559" i="5"/>
  <c r="AH116" i="5"/>
  <c r="AH193" i="5"/>
  <c r="AH115" i="5"/>
  <c r="AH500" i="5"/>
  <c r="AH515" i="5"/>
  <c r="AI163" i="5"/>
  <c r="AI471" i="5"/>
  <c r="AH224" i="5"/>
  <c r="AI224" i="5"/>
  <c r="AH367" i="5"/>
  <c r="AH101" i="5"/>
  <c r="AI365" i="5"/>
  <c r="AH476" i="5"/>
  <c r="AH218" i="5"/>
  <c r="AH477" i="5"/>
  <c r="AH494" i="5"/>
  <c r="AI152" i="5"/>
  <c r="AH171" i="5"/>
  <c r="AI156" i="5"/>
  <c r="AI308" i="5"/>
  <c r="AH268" i="5"/>
  <c r="AI475" i="5"/>
  <c r="AH475" i="5"/>
  <c r="AI479" i="5"/>
  <c r="AH479" i="5"/>
  <c r="AI507" i="5"/>
  <c r="AH414" i="5"/>
  <c r="AH230" i="5"/>
  <c r="U113" i="5"/>
  <c r="V72" i="5"/>
  <c r="AH435" i="5"/>
  <c r="AH411" i="5"/>
  <c r="AI550" i="5"/>
  <c r="AH46" i="5"/>
  <c r="AH122" i="5"/>
  <c r="AI468" i="5"/>
  <c r="AK43" i="5"/>
  <c r="AP43" i="5"/>
  <c r="AQ43" i="5" s="1"/>
  <c r="AL187" i="5"/>
  <c r="AN211" i="5"/>
  <c r="AK273" i="5"/>
  <c r="AN98" i="5"/>
  <c r="AN137" i="5"/>
  <c r="AO256" i="5"/>
  <c r="AI39" i="5"/>
  <c r="AO423" i="5"/>
  <c r="AO125" i="5"/>
  <c r="AH511" i="5"/>
  <c r="AI511" i="5"/>
  <c r="AO365" i="5"/>
  <c r="AI167" i="5"/>
  <c r="AO149" i="5"/>
  <c r="AO110" i="5"/>
  <c r="AO532" i="5"/>
  <c r="AO70" i="5"/>
  <c r="AN506" i="5"/>
  <c r="AO528" i="5"/>
  <c r="AI279" i="5"/>
  <c r="AN358" i="5"/>
  <c r="AO253" i="5"/>
  <c r="AN221" i="5"/>
  <c r="AN265" i="5"/>
  <c r="AN348" i="5"/>
  <c r="AO71" i="5"/>
  <c r="AK307" i="5"/>
  <c r="AN435" i="5"/>
  <c r="AL379" i="5"/>
  <c r="AO23" i="5"/>
  <c r="AI137" i="5"/>
  <c r="AN233" i="5"/>
  <c r="AN525" i="5"/>
  <c r="AN484" i="5"/>
  <c r="AP379" i="5"/>
  <c r="AQ379" i="5" s="1"/>
  <c r="AN198" i="5"/>
  <c r="AN62" i="5"/>
  <c r="AN135" i="5"/>
  <c r="AO527" i="5"/>
  <c r="AN92" i="5"/>
  <c r="AN111" i="5"/>
  <c r="AO45" i="5"/>
  <c r="AN172" i="5"/>
  <c r="AN80" i="5"/>
  <c r="AN195" i="5"/>
  <c r="AN103" i="5"/>
  <c r="AN8" i="5"/>
  <c r="AN385" i="5"/>
  <c r="AN496" i="5"/>
  <c r="AN161" i="5"/>
  <c r="AH293" i="5"/>
  <c r="AI293" i="5"/>
  <c r="AH247" i="5"/>
  <c r="AI247" i="5"/>
  <c r="AO145" i="5"/>
  <c r="AH236" i="5"/>
  <c r="AN445" i="5"/>
  <c r="AN220" i="5"/>
  <c r="AP548" i="5"/>
  <c r="AR548" i="5" s="1"/>
  <c r="AO547" i="5"/>
  <c r="AN112" i="5"/>
  <c r="AN437" i="5"/>
  <c r="AO413" i="5"/>
  <c r="AN41" i="5"/>
  <c r="AO118" i="5"/>
  <c r="AN352" i="5"/>
  <c r="AO346" i="5"/>
  <c r="AN318" i="5"/>
  <c r="AN486" i="5"/>
  <c r="AN320" i="5"/>
  <c r="AO533" i="5"/>
  <c r="AN314" i="5"/>
  <c r="AO197" i="5"/>
  <c r="AN129" i="5"/>
  <c r="AO508" i="5"/>
  <c r="AL521" i="5"/>
  <c r="AN157" i="5"/>
  <c r="AO26" i="5"/>
  <c r="AN179" i="5"/>
  <c r="AN294" i="5"/>
  <c r="AP521" i="5"/>
  <c r="AQ521" i="5" s="1"/>
  <c r="AN482" i="5"/>
  <c r="Q12" i="5"/>
  <c r="S12" i="5" s="1"/>
  <c r="AL283" i="5"/>
  <c r="AN69" i="5"/>
  <c r="AI537" i="5"/>
  <c r="AN40" i="5"/>
  <c r="AO29" i="5"/>
  <c r="AO325" i="5"/>
  <c r="AO520" i="5"/>
  <c r="AN139" i="5"/>
  <c r="AN457" i="5"/>
  <c r="AO490" i="5"/>
  <c r="AP133" i="5"/>
  <c r="AR133" i="5" s="1"/>
  <c r="AL51" i="5"/>
  <c r="AO340" i="5"/>
  <c r="AO477" i="5"/>
  <c r="AN514" i="5"/>
  <c r="AO164" i="5"/>
  <c r="W12" i="5"/>
  <c r="Y12" i="5" s="1"/>
  <c r="AI204" i="5"/>
  <c r="AJ12" i="5"/>
  <c r="AN25" i="5"/>
  <c r="AO31" i="5"/>
  <c r="AP283" i="5"/>
  <c r="AQ283" i="5" s="1"/>
  <c r="AN493" i="5"/>
  <c r="AP222" i="5"/>
  <c r="AR222" i="5" s="1"/>
  <c r="AO537" i="5"/>
  <c r="AN497" i="5"/>
  <c r="AO97" i="5"/>
  <c r="AO109" i="5"/>
  <c r="AN194" i="5"/>
  <c r="AO204" i="5"/>
  <c r="AO262" i="5"/>
  <c r="AN72" i="5"/>
  <c r="AO389" i="5"/>
  <c r="AN115" i="5"/>
  <c r="AN222" i="5"/>
  <c r="AO66" i="5"/>
  <c r="AN142" i="5"/>
  <c r="AO422" i="5"/>
  <c r="AO228" i="5"/>
  <c r="AO127" i="5"/>
  <c r="AN178" i="5"/>
  <c r="AO301" i="5"/>
  <c r="AO362" i="5"/>
  <c r="AO33" i="5"/>
  <c r="AN442" i="5"/>
  <c r="AL147" i="5"/>
  <c r="AH100" i="5"/>
  <c r="AI100" i="5"/>
  <c r="AP147" i="5"/>
  <c r="AQ147" i="5" s="1"/>
  <c r="AI481" i="5"/>
  <c r="AH481" i="5"/>
  <c r="AI172" i="5"/>
  <c r="AN276" i="5"/>
  <c r="AN176" i="5"/>
  <c r="AN438" i="5"/>
  <c r="AO263" i="5"/>
  <c r="AN243" i="5"/>
  <c r="AN546" i="5"/>
  <c r="AN163" i="5"/>
  <c r="AN472" i="5"/>
  <c r="AN231" i="5"/>
  <c r="AN152" i="5"/>
  <c r="AP26" i="5"/>
  <c r="AR26" i="5" s="1"/>
  <c r="AO122" i="5"/>
  <c r="AO274" i="5"/>
  <c r="AP129" i="5"/>
  <c r="AQ129" i="5" s="1"/>
  <c r="AP281" i="5"/>
  <c r="AR281" i="5" s="1"/>
  <c r="AK153" i="5"/>
  <c r="AP202" i="5"/>
  <c r="AQ202" i="5" s="1"/>
  <c r="AH68" i="5"/>
  <c r="AI68" i="5"/>
  <c r="AP383" i="5"/>
  <c r="AQ383" i="5" s="1"/>
  <c r="AI442" i="5"/>
  <c r="AH442" i="5"/>
  <c r="AP386" i="5"/>
  <c r="AQ386" i="5" s="1"/>
  <c r="AP437" i="5"/>
  <c r="AQ437" i="5" s="1"/>
  <c r="AN43" i="5"/>
  <c r="AH132" i="5"/>
  <c r="AI132" i="5"/>
  <c r="AH74" i="5"/>
  <c r="AI74" i="5"/>
  <c r="AO390" i="5"/>
  <c r="AN286" i="5"/>
  <c r="AO518" i="5"/>
  <c r="AN304" i="5"/>
  <c r="AO206" i="5"/>
  <c r="AO205" i="5"/>
  <c r="AO298" i="5"/>
  <c r="AO360" i="5"/>
  <c r="AO505" i="5"/>
  <c r="AO419" i="5"/>
  <c r="AN270" i="5"/>
  <c r="AP270" i="5"/>
  <c r="AQ270" i="5" s="1"/>
  <c r="AH125" i="5"/>
  <c r="AI125" i="5"/>
  <c r="AO343" i="5"/>
  <c r="AO284" i="5"/>
  <c r="AK483" i="5"/>
  <c r="AH271" i="5"/>
  <c r="AI271" i="5"/>
  <c r="AI282" i="5"/>
  <c r="AH282" i="5"/>
  <c r="AI295" i="5"/>
  <c r="AH295" i="5"/>
  <c r="AH207" i="5"/>
  <c r="AI207" i="5"/>
  <c r="AP516" i="5"/>
  <c r="AQ516" i="5" s="1"/>
  <c r="AP356" i="5"/>
  <c r="AR356" i="5" s="1"/>
  <c r="AL539" i="5"/>
  <c r="AP176" i="5"/>
  <c r="AQ176" i="5" s="1"/>
  <c r="AN538" i="5"/>
  <c r="AN552" i="5"/>
  <c r="V164" i="5"/>
  <c r="V255" i="5"/>
  <c r="V168" i="5"/>
  <c r="U96" i="5"/>
  <c r="V184" i="5"/>
  <c r="V42" i="5"/>
  <c r="V216" i="5"/>
  <c r="U44" i="4"/>
  <c r="AH44" i="4" s="1"/>
  <c r="AP192" i="5"/>
  <c r="AR192" i="5" s="1"/>
  <c r="AS44" i="4"/>
  <c r="V44" i="4"/>
  <c r="AM44" i="4" s="1"/>
  <c r="AN44" i="4" s="1"/>
  <c r="AN312" i="5"/>
  <c r="U60" i="4"/>
  <c r="AH60" i="4" s="1"/>
  <c r="V81" i="5"/>
  <c r="AN512" i="5"/>
  <c r="AP227" i="5"/>
  <c r="AR227" i="5" s="1"/>
  <c r="AO186" i="5"/>
  <c r="AO38" i="5"/>
  <c r="AP552" i="5"/>
  <c r="AR552" i="5" s="1"/>
  <c r="AP109" i="5"/>
  <c r="AR109" i="5" s="1"/>
  <c r="AP187" i="5"/>
  <c r="AR187" i="5" s="1"/>
  <c r="AP510" i="5"/>
  <c r="AR510" i="5" s="1"/>
  <c r="AN48" i="5"/>
  <c r="U27" i="4"/>
  <c r="AH27" i="4" s="1"/>
  <c r="AS85" i="4"/>
  <c r="AN369" i="5"/>
  <c r="AO219" i="5"/>
  <c r="U85" i="4"/>
  <c r="AH85" i="4" s="1"/>
  <c r="AO192" i="5"/>
  <c r="V85" i="4"/>
  <c r="AM85" i="4" s="1"/>
  <c r="AN85" i="4" s="1"/>
  <c r="AN481" i="5"/>
  <c r="AP234" i="5"/>
  <c r="AR234" i="5" s="1"/>
  <c r="AP394" i="5"/>
  <c r="AQ394" i="5" s="1"/>
  <c r="AP382" i="5"/>
  <c r="AQ382" i="5" s="1"/>
  <c r="AN160" i="5"/>
  <c r="V54" i="4"/>
  <c r="AM54" i="4" s="1"/>
  <c r="AN54" i="4" s="1"/>
  <c r="AN259" i="5"/>
  <c r="U116" i="5"/>
  <c r="AP539" i="5"/>
  <c r="AQ539" i="5" s="1"/>
  <c r="AO430" i="5"/>
  <c r="AP307" i="5"/>
  <c r="AR307" i="5" s="1"/>
  <c r="AN42" i="5"/>
  <c r="AL465" i="5"/>
  <c r="U151" i="4"/>
  <c r="AH151" i="4" s="1"/>
  <c r="AO210" i="5"/>
  <c r="AP540" i="5"/>
  <c r="AR540" i="5" s="1"/>
  <c r="AP465" i="5"/>
  <c r="AQ465" i="5" s="1"/>
  <c r="AP148" i="5"/>
  <c r="AQ148" i="5" s="1"/>
  <c r="AP313" i="5"/>
  <c r="AQ313" i="5" s="1"/>
  <c r="AP141" i="5"/>
  <c r="AQ141" i="5" s="1"/>
  <c r="AS151" i="4"/>
  <c r="S526" i="5"/>
  <c r="AO209" i="5"/>
  <c r="AN462" i="5"/>
  <c r="AP371" i="5"/>
  <c r="AQ371" i="5" s="1"/>
  <c r="AN240" i="5"/>
  <c r="V219" i="5"/>
  <c r="AN467" i="5"/>
  <c r="AS126" i="4"/>
  <c r="U38" i="4"/>
  <c r="AH38" i="4" s="1"/>
  <c r="V102" i="4"/>
  <c r="AM102" i="4" s="1"/>
  <c r="AN102" i="4" s="1"/>
  <c r="AO58" i="5"/>
  <c r="AN61" i="5"/>
  <c r="U77" i="5"/>
  <c r="AO132" i="5"/>
  <c r="AO114" i="5"/>
  <c r="AO106" i="5"/>
  <c r="V49" i="4"/>
  <c r="AM49" i="4" s="1"/>
  <c r="AN49" i="4" s="1"/>
  <c r="V47" i="4"/>
  <c r="AM47" i="4" s="1"/>
  <c r="AN47" i="4" s="1"/>
  <c r="AO433" i="5"/>
  <c r="U71" i="4"/>
  <c r="AH71" i="4" s="1"/>
  <c r="V91" i="4"/>
  <c r="AM91" i="4" s="1"/>
  <c r="AN91" i="4" s="1"/>
  <c r="V127" i="4"/>
  <c r="AM127" i="4" s="1"/>
  <c r="AN127" i="4" s="1"/>
  <c r="AS38" i="4"/>
  <c r="U141" i="4"/>
  <c r="AH141" i="4" s="1"/>
  <c r="U73" i="4"/>
  <c r="AH73" i="4" s="1"/>
  <c r="V29" i="4"/>
  <c r="AM29" i="4" s="1"/>
  <c r="AN29" i="4" s="1"/>
  <c r="AL371" i="5"/>
  <c r="AN81" i="5"/>
  <c r="AS97" i="4"/>
  <c r="U49" i="4"/>
  <c r="AH49" i="4" s="1"/>
  <c r="U86" i="5"/>
  <c r="AS47" i="4"/>
  <c r="AS71" i="4"/>
  <c r="AS111" i="4"/>
  <c r="U70" i="4"/>
  <c r="AH70" i="4" s="1"/>
  <c r="U127" i="4"/>
  <c r="AH127" i="4" s="1"/>
  <c r="V38" i="4"/>
  <c r="V136" i="5"/>
  <c r="AO491" i="5"/>
  <c r="AS11" i="4"/>
  <c r="V182" i="5"/>
  <c r="U29" i="4"/>
  <c r="AH29" i="4" s="1"/>
  <c r="AO24" i="5"/>
  <c r="AN384" i="5"/>
  <c r="AN444" i="5"/>
  <c r="AO447" i="5"/>
  <c r="AS49" i="4"/>
  <c r="V116" i="4"/>
  <c r="W116" i="4" s="1"/>
  <c r="V111" i="4"/>
  <c r="AM111" i="4" s="1"/>
  <c r="AN111" i="4" s="1"/>
  <c r="AN140" i="5"/>
  <c r="U100" i="4"/>
  <c r="AH100" i="4" s="1"/>
  <c r="AN267" i="5"/>
  <c r="AO555" i="5"/>
  <c r="V18" i="4"/>
  <c r="AM18" i="4" s="1"/>
  <c r="AN18" i="4" s="1"/>
  <c r="V97" i="4"/>
  <c r="W97" i="4" s="1"/>
  <c r="Y97" i="4" s="1"/>
  <c r="AS29" i="4"/>
  <c r="AO550" i="5"/>
  <c r="AP166" i="5"/>
  <c r="AQ166" i="5" s="1"/>
  <c r="AP65" i="5"/>
  <c r="AR65" i="5" s="1"/>
  <c r="U55" i="4"/>
  <c r="AH55" i="4" s="1"/>
  <c r="AN396" i="5"/>
  <c r="U97" i="4"/>
  <c r="AH97" i="4" s="1"/>
  <c r="V167" i="5"/>
  <c r="AN412" i="5"/>
  <c r="AO450" i="5"/>
  <c r="U116" i="4"/>
  <c r="AH116" i="4" s="1"/>
  <c r="U30" i="4"/>
  <c r="AH30" i="4" s="1"/>
  <c r="U111" i="4"/>
  <c r="AH111" i="4" s="1"/>
  <c r="AS100" i="4"/>
  <c r="AO504" i="5"/>
  <c r="AN65" i="5"/>
  <c r="AO49" i="5"/>
  <c r="AN557" i="5"/>
  <c r="Y365" i="5"/>
  <c r="U76" i="4"/>
  <c r="AH76" i="4" s="1"/>
  <c r="AP491" i="5"/>
  <c r="AR491" i="5" s="1"/>
  <c r="AS55" i="4"/>
  <c r="AO116" i="5"/>
  <c r="V103" i="5"/>
  <c r="AS60" i="4"/>
  <c r="AN397" i="5"/>
  <c r="AS116" i="4"/>
  <c r="V86" i="4"/>
  <c r="W86" i="4" s="1"/>
  <c r="V100" i="4"/>
  <c r="AM100" i="4" s="1"/>
  <c r="AN100" i="4" s="1"/>
  <c r="AS70" i="4"/>
  <c r="U10" i="4"/>
  <c r="AH10" i="4" s="1"/>
  <c r="AS76" i="4"/>
  <c r="V55" i="4"/>
  <c r="AM55" i="4" s="1"/>
  <c r="AN55" i="4" s="1"/>
  <c r="V11" i="4"/>
  <c r="W11" i="4" s="1"/>
  <c r="Y11" i="4" s="1"/>
  <c r="Z11" i="4" s="1"/>
  <c r="V60" i="4"/>
  <c r="AM60" i="4" s="1"/>
  <c r="AN60" i="4" s="1"/>
  <c r="U68" i="4"/>
  <c r="AH68" i="4" s="1"/>
  <c r="V126" i="4"/>
  <c r="W126" i="4" s="1"/>
  <c r="X126" i="4" s="1"/>
  <c r="AJ126" i="4" s="1"/>
  <c r="U86" i="4"/>
  <c r="V30" i="4"/>
  <c r="AM30" i="4" s="1"/>
  <c r="AN30" i="4" s="1"/>
  <c r="V70" i="4"/>
  <c r="W70" i="4" s="1"/>
  <c r="Y70" i="4" s="1"/>
  <c r="U102" i="4"/>
  <c r="AH102" i="4" s="1"/>
  <c r="AO225" i="5"/>
  <c r="AP273" i="5"/>
  <c r="AR273" i="5" s="1"/>
  <c r="V23" i="5"/>
  <c r="AS25" i="4"/>
  <c r="V104" i="5"/>
  <c r="AO432" i="5"/>
  <c r="U48" i="4"/>
  <c r="AH48" i="4" s="1"/>
  <c r="AO252" i="5"/>
  <c r="AO264" i="5"/>
  <c r="V106" i="4"/>
  <c r="AM106" i="4" s="1"/>
  <c r="AN106" i="4" s="1"/>
  <c r="V46" i="5"/>
  <c r="AN199" i="5"/>
  <c r="AO56" i="5"/>
  <c r="AN406" i="5"/>
  <c r="AS52" i="4"/>
  <c r="AO212" i="5"/>
  <c r="AO88" i="5"/>
  <c r="V146" i="4"/>
  <c r="W146" i="4" s="1"/>
  <c r="Y146" i="4" s="1"/>
  <c r="Z146" i="4" s="1"/>
  <c r="AP25" i="5"/>
  <c r="AR25" i="5" s="1"/>
  <c r="AP287" i="5"/>
  <c r="AR287" i="5" s="1"/>
  <c r="AP410" i="5"/>
  <c r="AQ410" i="5" s="1"/>
  <c r="AP135" i="5"/>
  <c r="AR135" i="5" s="1"/>
  <c r="AP380" i="5"/>
  <c r="AR380" i="5" s="1"/>
  <c r="AP153" i="5"/>
  <c r="AR153" i="5" s="1"/>
  <c r="AS48" i="4"/>
  <c r="U106" i="4"/>
  <c r="AH106" i="4" s="1"/>
  <c r="AS31" i="4"/>
  <c r="AO371" i="5"/>
  <c r="AN363" i="5"/>
  <c r="AP225" i="5"/>
  <c r="AR225" i="5" s="1"/>
  <c r="AO239" i="5"/>
  <c r="AN420" i="5"/>
  <c r="V60" i="5"/>
  <c r="V48" i="5"/>
  <c r="V147" i="5"/>
  <c r="V75" i="4"/>
  <c r="AM75" i="4" s="1"/>
  <c r="AN75" i="4" s="1"/>
  <c r="U95" i="4"/>
  <c r="AH95" i="4" s="1"/>
  <c r="AS146" i="4"/>
  <c r="AP105" i="5"/>
  <c r="AQ105" i="5" s="1"/>
  <c r="V234" i="5"/>
  <c r="AP214" i="5"/>
  <c r="AR214" i="5" s="1"/>
  <c r="AP527" i="5"/>
  <c r="AR527" i="5" s="1"/>
  <c r="AP199" i="5"/>
  <c r="AQ199" i="5" s="1"/>
  <c r="AP250" i="5"/>
  <c r="AR250" i="5" s="1"/>
  <c r="AS110" i="4"/>
  <c r="U75" i="4"/>
  <c r="AH75" i="4" s="1"/>
  <c r="AS95" i="4"/>
  <c r="AO415" i="5"/>
  <c r="AN415" i="5"/>
  <c r="V74" i="4"/>
  <c r="W74" i="4" s="1"/>
  <c r="Y74" i="4" s="1"/>
  <c r="U25" i="4"/>
  <c r="AH25" i="4" s="1"/>
  <c r="V110" i="4"/>
  <c r="W110" i="4" s="1"/>
  <c r="Y110" i="4" s="1"/>
  <c r="AL225" i="5"/>
  <c r="AO451" i="5"/>
  <c r="AN451" i="5"/>
  <c r="AS7" i="4"/>
  <c r="V118" i="4"/>
  <c r="AM118" i="4" s="1"/>
  <c r="AO331" i="5"/>
  <c r="AN331" i="5"/>
  <c r="AI388" i="5"/>
  <c r="AH388" i="5"/>
  <c r="AH331" i="5"/>
  <c r="AI331" i="5"/>
  <c r="AH52" i="5"/>
  <c r="AI52" i="5"/>
  <c r="AH263" i="5"/>
  <c r="AI263" i="5"/>
  <c r="AN51" i="5"/>
  <c r="AO51" i="5"/>
  <c r="AP556" i="5"/>
  <c r="AR556" i="5" s="1"/>
  <c r="AP58" i="5"/>
  <c r="AR58" i="5" s="1"/>
  <c r="AP175" i="5"/>
  <c r="AQ175" i="5" s="1"/>
  <c r="AP130" i="5"/>
  <c r="AQ130" i="5" s="1"/>
  <c r="V25" i="4"/>
  <c r="W25" i="4" s="1"/>
  <c r="Y25" i="4" s="1"/>
  <c r="U257" i="5"/>
  <c r="AS75" i="4"/>
  <c r="V63" i="4"/>
  <c r="W63" i="4" s="1"/>
  <c r="S480" i="5"/>
  <c r="V35" i="4"/>
  <c r="AM35" i="4" s="1"/>
  <c r="AN35" i="4" s="1"/>
  <c r="V76" i="4"/>
  <c r="AM76" i="4" s="1"/>
  <c r="AN76" i="4" s="1"/>
  <c r="AI399" i="5"/>
  <c r="AH399" i="5"/>
  <c r="AH329" i="5"/>
  <c r="AI329" i="5"/>
  <c r="AO499" i="5"/>
  <c r="AN499" i="5"/>
  <c r="AP333" i="5"/>
  <c r="AQ333" i="5" s="1"/>
  <c r="U63" i="4"/>
  <c r="AH63" i="4" s="1"/>
  <c r="AS35" i="4"/>
  <c r="V9" i="4"/>
  <c r="AM9" i="4" s="1"/>
  <c r="AN9" i="4" s="1"/>
  <c r="AI369" i="5"/>
  <c r="AH369" i="5"/>
  <c r="AI241" i="5"/>
  <c r="AH241" i="5"/>
  <c r="AH431" i="5"/>
  <c r="AI431" i="5"/>
  <c r="AN427" i="5"/>
  <c r="AO427" i="5"/>
  <c r="AN539" i="5"/>
  <c r="AO539" i="5"/>
  <c r="AP354" i="5"/>
  <c r="AR354" i="5" s="1"/>
  <c r="AP450" i="5"/>
  <c r="AQ450" i="5" s="1"/>
  <c r="AP324" i="5"/>
  <c r="AQ324" i="5" s="1"/>
  <c r="U35" i="4"/>
  <c r="AH35" i="4" s="1"/>
  <c r="AS63" i="4"/>
  <c r="U12" i="4"/>
  <c r="AH12" i="4" s="1"/>
  <c r="U9" i="4"/>
  <c r="AH9" i="4" s="1"/>
  <c r="AO305" i="5"/>
  <c r="AH53" i="5"/>
  <c r="AI53" i="5"/>
  <c r="AI95" i="5"/>
  <c r="AH95" i="5"/>
  <c r="AI191" i="5"/>
  <c r="AH191" i="5"/>
  <c r="AN73" i="5"/>
  <c r="AO73" i="5"/>
  <c r="AP432" i="5"/>
  <c r="AQ432" i="5" s="1"/>
  <c r="AP69" i="5"/>
  <c r="AQ69" i="5" s="1"/>
  <c r="AP390" i="5"/>
  <c r="AQ390" i="5" s="1"/>
  <c r="AP178" i="5"/>
  <c r="AR178" i="5" s="1"/>
  <c r="AP355" i="5"/>
  <c r="AR355" i="5" s="1"/>
  <c r="AP217" i="5"/>
  <c r="AR217" i="5" s="1"/>
  <c r="AP290" i="5"/>
  <c r="AQ290" i="5" s="1"/>
  <c r="AP365" i="5"/>
  <c r="AQ365" i="5" s="1"/>
  <c r="AP396" i="5"/>
  <c r="AR396" i="5" s="1"/>
  <c r="AP314" i="5"/>
  <c r="AQ314" i="5" s="1"/>
  <c r="AP301" i="5"/>
  <c r="AR301" i="5" s="1"/>
  <c r="AP528" i="5"/>
  <c r="AR528" i="5" s="1"/>
  <c r="AP173" i="5"/>
  <c r="AR173" i="5" s="1"/>
  <c r="U74" i="4"/>
  <c r="AH74" i="4" s="1"/>
  <c r="AS106" i="4"/>
  <c r="V31" i="4"/>
  <c r="W31" i="4" s="1"/>
  <c r="Y31" i="4" s="1"/>
  <c r="U110" i="4"/>
  <c r="AP348" i="5"/>
  <c r="AQ348" i="5" s="1"/>
  <c r="AP387" i="5"/>
  <c r="AR387" i="5" s="1"/>
  <c r="AK105" i="5"/>
  <c r="V123" i="4"/>
  <c r="W123" i="4" s="1"/>
  <c r="Y123" i="4" s="1"/>
  <c r="R554" i="5"/>
  <c r="AS12" i="4"/>
  <c r="AS9" i="4"/>
  <c r="U84" i="4"/>
  <c r="AH84" i="4" s="1"/>
  <c r="AI543" i="5"/>
  <c r="AH543" i="5"/>
  <c r="AH150" i="5"/>
  <c r="AI150" i="5"/>
  <c r="AI43" i="5"/>
  <c r="AH43" i="5"/>
  <c r="AN313" i="5"/>
  <c r="AO313" i="5"/>
  <c r="AO108" i="5"/>
  <c r="AN108" i="5"/>
  <c r="AP494" i="5"/>
  <c r="AQ494" i="5" s="1"/>
  <c r="AP520" i="5"/>
  <c r="AQ520" i="5" s="1"/>
  <c r="AP48" i="5"/>
  <c r="AR48" i="5" s="1"/>
  <c r="AP267" i="5"/>
  <c r="AR267" i="5" s="1"/>
  <c r="AP338" i="5"/>
  <c r="AQ338" i="5" s="1"/>
  <c r="AP332" i="5"/>
  <c r="AR332" i="5" s="1"/>
  <c r="AP157" i="5"/>
  <c r="AQ157" i="5" s="1"/>
  <c r="AP304" i="5"/>
  <c r="AQ304" i="5" s="1"/>
  <c r="V48" i="4"/>
  <c r="AM48" i="4" s="1"/>
  <c r="AN48" i="4" s="1"/>
  <c r="AS74" i="4"/>
  <c r="U31" i="4"/>
  <c r="AH31" i="4" s="1"/>
  <c r="AP434" i="5"/>
  <c r="AQ434" i="5" s="1"/>
  <c r="U7" i="4"/>
  <c r="AH7" i="4" s="1"/>
  <c r="U123" i="4"/>
  <c r="AH123" i="4" s="1"/>
  <c r="V52" i="4"/>
  <c r="W52" i="4" s="1"/>
  <c r="AN273" i="5"/>
  <c r="AO416" i="5"/>
  <c r="AH325" i="5"/>
  <c r="AI325" i="5"/>
  <c r="AI541" i="5"/>
  <c r="AH541" i="5"/>
  <c r="AP405" i="5"/>
  <c r="AQ405" i="5" s="1"/>
  <c r="AP212" i="5"/>
  <c r="AQ212" i="5" s="1"/>
  <c r="AP461" i="5"/>
  <c r="AQ461" i="5" s="1"/>
  <c r="V7" i="4"/>
  <c r="AM7" i="4" s="1"/>
  <c r="AN7" i="4" s="1"/>
  <c r="AS123" i="4"/>
  <c r="U52" i="4"/>
  <c r="AH52" i="4" s="1"/>
  <c r="V95" i="4"/>
  <c r="AM95" i="4" s="1"/>
  <c r="AN95" i="4" s="1"/>
  <c r="AH430" i="5"/>
  <c r="AI430" i="5"/>
  <c r="AI342" i="5"/>
  <c r="AH342" i="5"/>
  <c r="AN171" i="5"/>
  <c r="AO171" i="5"/>
  <c r="B24" i="2"/>
  <c r="R88" i="5"/>
  <c r="R328" i="5"/>
  <c r="Y65" i="5"/>
  <c r="Y135" i="5"/>
  <c r="Y181" i="5"/>
  <c r="Y416" i="5"/>
  <c r="X206" i="5"/>
  <c r="X204" i="5"/>
  <c r="X74" i="5"/>
  <c r="Z560" i="5"/>
  <c r="AA560" i="5" s="1"/>
  <c r="Z552" i="5"/>
  <c r="AB552" i="5" s="1"/>
  <c r="Z544" i="5"/>
  <c r="AB544" i="5" s="1"/>
  <c r="Z536" i="5"/>
  <c r="Z528" i="5"/>
  <c r="Z520" i="5"/>
  <c r="AB520" i="5" s="1"/>
  <c r="Z512" i="5"/>
  <c r="Z504" i="5"/>
  <c r="AB504" i="5" s="1"/>
  <c r="Z496" i="5"/>
  <c r="Z488" i="5"/>
  <c r="AB488" i="5" s="1"/>
  <c r="Z480" i="5"/>
  <c r="AB480" i="5" s="1"/>
  <c r="Z472" i="5"/>
  <c r="AA472" i="5" s="1"/>
  <c r="Z464" i="5"/>
  <c r="AA464" i="5" s="1"/>
  <c r="Z456" i="5"/>
  <c r="AA456" i="5" s="1"/>
  <c r="Z448" i="5"/>
  <c r="AA448" i="5" s="1"/>
  <c r="Z440" i="5"/>
  <c r="Z432" i="5"/>
  <c r="Z424" i="5"/>
  <c r="AB424" i="5" s="1"/>
  <c r="Z416" i="5"/>
  <c r="AA416" i="5" s="1"/>
  <c r="Z408" i="5"/>
  <c r="AB408" i="5" s="1"/>
  <c r="Z400" i="5"/>
  <c r="AA400" i="5" s="1"/>
  <c r="Z392" i="5"/>
  <c r="AB392" i="5" s="1"/>
  <c r="Z384" i="5"/>
  <c r="AA384" i="5" s="1"/>
  <c r="Z376" i="5"/>
  <c r="AB376" i="5" s="1"/>
  <c r="Z368" i="5"/>
  <c r="AA368" i="5" s="1"/>
  <c r="Z360" i="5"/>
  <c r="AA360" i="5" s="1"/>
  <c r="Z352" i="5"/>
  <c r="AB352" i="5" s="1"/>
  <c r="Z344" i="5"/>
  <c r="Z336" i="5"/>
  <c r="AB336" i="5" s="1"/>
  <c r="Z328" i="5"/>
  <c r="AB328" i="5" s="1"/>
  <c r="Z320" i="5"/>
  <c r="AA320" i="5" s="1"/>
  <c r="Z312" i="5"/>
  <c r="AA312" i="5" s="1"/>
  <c r="Z304" i="5"/>
  <c r="AB304" i="5" s="1"/>
  <c r="Z296" i="5"/>
  <c r="AB296" i="5" s="1"/>
  <c r="Z288" i="5"/>
  <c r="AA288" i="5" s="1"/>
  <c r="Z280" i="5"/>
  <c r="Z272" i="5"/>
  <c r="AA272" i="5" s="1"/>
  <c r="Z264" i="5"/>
  <c r="Z256" i="5"/>
  <c r="AB256" i="5" s="1"/>
  <c r="Z248" i="5"/>
  <c r="Z240" i="5"/>
  <c r="Z232" i="5"/>
  <c r="Z224" i="5"/>
  <c r="AB224" i="5" s="1"/>
  <c r="Z216" i="5"/>
  <c r="Z208" i="5"/>
  <c r="AA208" i="5" s="1"/>
  <c r="Z200" i="5"/>
  <c r="Z192" i="5"/>
  <c r="AB192" i="5" s="1"/>
  <c r="Z184" i="5"/>
  <c r="Z176" i="5"/>
  <c r="AB176" i="5" s="1"/>
  <c r="Z168" i="5"/>
  <c r="AB168" i="5" s="1"/>
  <c r="Z160" i="5"/>
  <c r="AB160" i="5" s="1"/>
  <c r="Z152" i="5"/>
  <c r="AB152" i="5" s="1"/>
  <c r="Z144" i="5"/>
  <c r="AA144" i="5" s="1"/>
  <c r="Z136" i="5"/>
  <c r="Z128" i="5"/>
  <c r="AA128" i="5" s="1"/>
  <c r="Z112" i="5"/>
  <c r="AA112" i="5" s="1"/>
  <c r="Z96" i="5"/>
  <c r="AA96" i="5" s="1"/>
  <c r="Z80" i="5"/>
  <c r="AA80" i="5" s="1"/>
  <c r="Z56" i="5"/>
  <c r="AB56" i="5" s="1"/>
  <c r="Z34" i="5"/>
  <c r="AA34" i="5" s="1"/>
  <c r="Z29" i="5"/>
  <c r="AB29" i="5" s="1"/>
  <c r="Z559" i="5"/>
  <c r="Z551" i="5"/>
  <c r="AB551" i="5" s="1"/>
  <c r="Z543" i="5"/>
  <c r="AB543" i="5" s="1"/>
  <c r="Z535" i="5"/>
  <c r="AA535" i="5" s="1"/>
  <c r="Z527" i="5"/>
  <c r="AA527" i="5" s="1"/>
  <c r="Z519" i="5"/>
  <c r="AB519" i="5" s="1"/>
  <c r="Z511" i="5"/>
  <c r="AA511" i="5" s="1"/>
  <c r="Z503" i="5"/>
  <c r="AB503" i="5" s="1"/>
  <c r="Z495" i="5"/>
  <c r="AB495" i="5" s="1"/>
  <c r="Z487" i="5"/>
  <c r="AA487" i="5" s="1"/>
  <c r="Z479" i="5"/>
  <c r="Z471" i="5"/>
  <c r="AA471" i="5" s="1"/>
  <c r="Z463" i="5"/>
  <c r="AA463" i="5" s="1"/>
  <c r="Z455" i="5"/>
  <c r="AB455" i="5" s="1"/>
  <c r="Z447" i="5"/>
  <c r="AA447" i="5" s="1"/>
  <c r="Z439" i="5"/>
  <c r="AA439" i="5" s="1"/>
  <c r="Z431" i="5"/>
  <c r="AA431" i="5" s="1"/>
  <c r="Z423" i="5"/>
  <c r="AB423" i="5" s="1"/>
  <c r="Z415" i="5"/>
  <c r="AB415" i="5" s="1"/>
  <c r="Z407" i="5"/>
  <c r="AB407" i="5" s="1"/>
  <c r="Z399" i="5"/>
  <c r="Z391" i="5"/>
  <c r="AB391" i="5" s="1"/>
  <c r="Z383" i="5"/>
  <c r="AB383" i="5" s="1"/>
  <c r="Z375" i="5"/>
  <c r="AB375" i="5" s="1"/>
  <c r="Z367" i="5"/>
  <c r="AA367" i="5" s="1"/>
  <c r="Z359" i="5"/>
  <c r="AA359" i="5" s="1"/>
  <c r="Z351" i="5"/>
  <c r="AA351" i="5" s="1"/>
  <c r="Z343" i="5"/>
  <c r="AB343" i="5" s="1"/>
  <c r="Z335" i="5"/>
  <c r="AA335" i="5" s="1"/>
  <c r="Z327" i="5"/>
  <c r="AA327" i="5" s="1"/>
  <c r="Z319" i="5"/>
  <c r="AB319" i="5" s="1"/>
  <c r="Z311" i="5"/>
  <c r="AB311" i="5" s="1"/>
  <c r="Z303" i="5"/>
  <c r="AB303" i="5" s="1"/>
  <c r="Z295" i="5"/>
  <c r="Z287" i="5"/>
  <c r="AA287" i="5" s="1"/>
  <c r="Z279" i="5"/>
  <c r="Z271" i="5"/>
  <c r="AA271" i="5" s="1"/>
  <c r="Z263" i="5"/>
  <c r="AB263" i="5" s="1"/>
  <c r="Z255" i="5"/>
  <c r="AA255" i="5" s="1"/>
  <c r="Z247" i="5"/>
  <c r="AA247" i="5" s="1"/>
  <c r="Z239" i="5"/>
  <c r="AB239" i="5" s="1"/>
  <c r="Z231" i="5"/>
  <c r="AB231" i="5" s="1"/>
  <c r="Z223" i="5"/>
  <c r="AB223" i="5" s="1"/>
  <c r="Z215" i="5"/>
  <c r="AA215" i="5" s="1"/>
  <c r="Z207" i="5"/>
  <c r="AB207" i="5" s="1"/>
  <c r="Z199" i="5"/>
  <c r="AB199" i="5" s="1"/>
  <c r="Z191" i="5"/>
  <c r="AA191" i="5" s="1"/>
  <c r="Z183" i="5"/>
  <c r="Z175" i="5"/>
  <c r="AB175" i="5" s="1"/>
  <c r="Z167" i="5"/>
  <c r="AB167" i="5" s="1"/>
  <c r="Z159" i="5"/>
  <c r="AA159" i="5" s="1"/>
  <c r="Z151" i="5"/>
  <c r="AA151" i="5" s="1"/>
  <c r="Z143" i="5"/>
  <c r="AA143" i="5" s="1"/>
  <c r="Z135" i="5"/>
  <c r="AA135" i="5" s="1"/>
  <c r="Z127" i="5"/>
  <c r="Z119" i="5"/>
  <c r="AB119" i="5" s="1"/>
  <c r="Z111" i="5"/>
  <c r="AB111" i="5" s="1"/>
  <c r="Z103" i="5"/>
  <c r="AA103" i="5" s="1"/>
  <c r="Z95" i="5"/>
  <c r="AB95" i="5" s="1"/>
  <c r="Z87" i="5"/>
  <c r="AB87" i="5" s="1"/>
  <c r="Z79" i="5"/>
  <c r="AB79" i="5" s="1"/>
  <c r="Z71" i="5"/>
  <c r="AA71" i="5" s="1"/>
  <c r="Z63" i="5"/>
  <c r="AB63" i="5" s="1"/>
  <c r="Z55" i="5"/>
  <c r="AB55" i="5" s="1"/>
  <c r="Z47" i="5"/>
  <c r="AB47" i="5" s="1"/>
  <c r="Z39" i="5"/>
  <c r="AA39" i="5" s="1"/>
  <c r="Z33" i="5"/>
  <c r="Z25" i="5"/>
  <c r="AA25" i="5" s="1"/>
  <c r="Z12" i="5"/>
  <c r="Z166" i="5"/>
  <c r="AA166" i="5" s="1"/>
  <c r="Z150" i="5"/>
  <c r="AA150" i="5" s="1"/>
  <c r="Z134" i="5"/>
  <c r="Z118" i="5"/>
  <c r="AB118" i="5" s="1"/>
  <c r="Z102" i="5"/>
  <c r="Z78" i="5"/>
  <c r="Z62" i="5"/>
  <c r="AB62" i="5" s="1"/>
  <c r="Z54" i="5"/>
  <c r="AA54" i="5" s="1"/>
  <c r="Z32" i="5"/>
  <c r="AB32" i="5" s="1"/>
  <c r="Z10" i="5"/>
  <c r="AB10" i="5" s="1"/>
  <c r="Z131" i="5"/>
  <c r="AA131" i="5" s="1"/>
  <c r="Z91" i="5"/>
  <c r="AA91" i="5" s="1"/>
  <c r="Z43" i="5"/>
  <c r="AB43" i="5" s="1"/>
  <c r="Z558" i="5"/>
  <c r="Z550" i="5"/>
  <c r="AB550" i="5" s="1"/>
  <c r="Z542" i="5"/>
  <c r="AA542" i="5" s="1"/>
  <c r="Z534" i="5"/>
  <c r="Z526" i="5"/>
  <c r="AA526" i="5" s="1"/>
  <c r="Z518" i="5"/>
  <c r="AB518" i="5" s="1"/>
  <c r="Z510" i="5"/>
  <c r="AB510" i="5" s="1"/>
  <c r="Z502" i="5"/>
  <c r="AB502" i="5" s="1"/>
  <c r="Z494" i="5"/>
  <c r="AB494" i="5" s="1"/>
  <c r="Z486" i="5"/>
  <c r="AB486" i="5" s="1"/>
  <c r="Z478" i="5"/>
  <c r="AB478" i="5" s="1"/>
  <c r="Z470" i="5"/>
  <c r="AB470" i="5" s="1"/>
  <c r="Z462" i="5"/>
  <c r="AB462" i="5" s="1"/>
  <c r="Z454" i="5"/>
  <c r="AB454" i="5" s="1"/>
  <c r="Z446" i="5"/>
  <c r="Z438" i="5"/>
  <c r="AB438" i="5" s="1"/>
  <c r="Z430" i="5"/>
  <c r="AA430" i="5" s="1"/>
  <c r="Z422" i="5"/>
  <c r="AB422" i="5" s="1"/>
  <c r="Z414" i="5"/>
  <c r="AB414" i="5" s="1"/>
  <c r="Z406" i="5"/>
  <c r="AA406" i="5" s="1"/>
  <c r="Z398" i="5"/>
  <c r="Z390" i="5"/>
  <c r="AA390" i="5" s="1"/>
  <c r="Z382" i="5"/>
  <c r="AB382" i="5" s="1"/>
  <c r="Z374" i="5"/>
  <c r="AB374" i="5" s="1"/>
  <c r="Z366" i="5"/>
  <c r="AA366" i="5" s="1"/>
  <c r="Z358" i="5"/>
  <c r="AB358" i="5" s="1"/>
  <c r="Z350" i="5"/>
  <c r="AA350" i="5" s="1"/>
  <c r="Z342" i="5"/>
  <c r="Z334" i="5"/>
  <c r="AB334" i="5" s="1"/>
  <c r="Z326" i="5"/>
  <c r="AA326" i="5" s="1"/>
  <c r="Z318" i="5"/>
  <c r="AB318" i="5" s="1"/>
  <c r="Z310" i="5"/>
  <c r="Z302" i="5"/>
  <c r="AA302" i="5" s="1"/>
  <c r="Z294" i="5"/>
  <c r="AB294" i="5" s="1"/>
  <c r="Z286" i="5"/>
  <c r="AB286" i="5" s="1"/>
  <c r="Z278" i="5"/>
  <c r="AA278" i="5" s="1"/>
  <c r="Z270" i="5"/>
  <c r="AA270" i="5" s="1"/>
  <c r="Z262" i="5"/>
  <c r="AA262" i="5" s="1"/>
  <c r="Z254" i="5"/>
  <c r="AA254" i="5" s="1"/>
  <c r="Z246" i="5"/>
  <c r="AA246" i="5" s="1"/>
  <c r="Z238" i="5"/>
  <c r="Z230" i="5"/>
  <c r="AA230" i="5" s="1"/>
  <c r="Z222" i="5"/>
  <c r="AB222" i="5" s="1"/>
  <c r="Z214" i="5"/>
  <c r="AA214" i="5" s="1"/>
  <c r="Z206" i="5"/>
  <c r="AA206" i="5" s="1"/>
  <c r="Z198" i="5"/>
  <c r="Z190" i="5"/>
  <c r="AB190" i="5" s="1"/>
  <c r="Z182" i="5"/>
  <c r="Z174" i="5"/>
  <c r="AA174" i="5" s="1"/>
  <c r="Z158" i="5"/>
  <c r="Z142" i="5"/>
  <c r="AB142" i="5" s="1"/>
  <c r="Z126" i="5"/>
  <c r="Z110" i="5"/>
  <c r="AA110" i="5" s="1"/>
  <c r="Z94" i="5"/>
  <c r="AA94" i="5" s="1"/>
  <c r="Z86" i="5"/>
  <c r="AA86" i="5" s="1"/>
  <c r="Z70" i="5"/>
  <c r="AB70" i="5" s="1"/>
  <c r="Z46" i="5"/>
  <c r="Z38" i="5"/>
  <c r="AA38" i="5" s="1"/>
  <c r="Z24" i="5"/>
  <c r="Z147" i="5"/>
  <c r="Z107" i="5"/>
  <c r="AB107" i="5" s="1"/>
  <c r="Z67" i="5"/>
  <c r="Z7" i="5"/>
  <c r="AB7" i="5" s="1"/>
  <c r="Z557" i="5"/>
  <c r="AA557" i="5" s="1"/>
  <c r="Z549" i="5"/>
  <c r="AB549" i="5" s="1"/>
  <c r="Z541" i="5"/>
  <c r="Z533" i="5"/>
  <c r="AA533" i="5" s="1"/>
  <c r="Z525" i="5"/>
  <c r="AA525" i="5" s="1"/>
  <c r="Z517" i="5"/>
  <c r="AB517" i="5" s="1"/>
  <c r="Z509" i="5"/>
  <c r="AA509" i="5" s="1"/>
  <c r="Z501" i="5"/>
  <c r="AB501" i="5" s="1"/>
  <c r="Z493" i="5"/>
  <c r="AA493" i="5" s="1"/>
  <c r="Z485" i="5"/>
  <c r="AA485" i="5" s="1"/>
  <c r="Z477" i="5"/>
  <c r="AA477" i="5" s="1"/>
  <c r="Z469" i="5"/>
  <c r="AA469" i="5" s="1"/>
  <c r="Z461" i="5"/>
  <c r="AB461" i="5" s="1"/>
  <c r="Z453" i="5"/>
  <c r="AA453" i="5" s="1"/>
  <c r="Z445" i="5"/>
  <c r="AB445" i="5" s="1"/>
  <c r="Z437" i="5"/>
  <c r="AA437" i="5" s="1"/>
  <c r="Z429" i="5"/>
  <c r="AA429" i="5" s="1"/>
  <c r="Z421" i="5"/>
  <c r="AA421" i="5" s="1"/>
  <c r="Z413" i="5"/>
  <c r="AA413" i="5" s="1"/>
  <c r="Z405" i="5"/>
  <c r="AB405" i="5" s="1"/>
  <c r="Z397" i="5"/>
  <c r="AB397" i="5" s="1"/>
  <c r="Z389" i="5"/>
  <c r="AA389" i="5" s="1"/>
  <c r="Z381" i="5"/>
  <c r="Z373" i="5"/>
  <c r="AB373" i="5" s="1"/>
  <c r="Z365" i="5"/>
  <c r="Z357" i="5"/>
  <c r="AA357" i="5" s="1"/>
  <c r="Z349" i="5"/>
  <c r="Z341" i="5"/>
  <c r="AA341" i="5" s="1"/>
  <c r="Z333" i="5"/>
  <c r="AB333" i="5" s="1"/>
  <c r="Z325" i="5"/>
  <c r="Z317" i="5"/>
  <c r="AB317" i="5" s="1"/>
  <c r="Z309" i="5"/>
  <c r="AA309" i="5" s="1"/>
  <c r="Z301" i="5"/>
  <c r="AA301" i="5" s="1"/>
  <c r="Z293" i="5"/>
  <c r="AA293" i="5" s="1"/>
  <c r="Z285" i="5"/>
  <c r="Z277" i="5"/>
  <c r="AB277" i="5" s="1"/>
  <c r="Z269" i="5"/>
  <c r="AB269" i="5" s="1"/>
  <c r="Z261" i="5"/>
  <c r="AA261" i="5" s="1"/>
  <c r="Z253" i="5"/>
  <c r="Z245" i="5"/>
  <c r="Z237" i="5"/>
  <c r="Z229" i="5"/>
  <c r="Z221" i="5"/>
  <c r="AB221" i="5" s="1"/>
  <c r="Z213" i="5"/>
  <c r="AB213" i="5" s="1"/>
  <c r="Z205" i="5"/>
  <c r="AB205" i="5" s="1"/>
  <c r="Z197" i="5"/>
  <c r="Z189" i="5"/>
  <c r="AA189" i="5" s="1"/>
  <c r="Z181" i="5"/>
  <c r="AA181" i="5" s="1"/>
  <c r="Z173" i="5"/>
  <c r="Z165" i="5"/>
  <c r="AA165" i="5" s="1"/>
  <c r="Z157" i="5"/>
  <c r="AB157" i="5" s="1"/>
  <c r="Z149" i="5"/>
  <c r="AB149" i="5" s="1"/>
  <c r="Z141" i="5"/>
  <c r="Z133" i="5"/>
  <c r="AA133" i="5" s="1"/>
  <c r="Z125" i="5"/>
  <c r="AB125" i="5" s="1"/>
  <c r="Z117" i="5"/>
  <c r="AA117" i="5" s="1"/>
  <c r="Z109" i="5"/>
  <c r="AA109" i="5" s="1"/>
  <c r="Z101" i="5"/>
  <c r="AA101" i="5" s="1"/>
  <c r="Z93" i="5"/>
  <c r="AA93" i="5" s="1"/>
  <c r="Z85" i="5"/>
  <c r="AA85" i="5" s="1"/>
  <c r="Z77" i="5"/>
  <c r="AA77" i="5" s="1"/>
  <c r="Z69" i="5"/>
  <c r="AB69" i="5" s="1"/>
  <c r="Z61" i="5"/>
  <c r="AA61" i="5" s="1"/>
  <c r="Z53" i="5"/>
  <c r="AB53" i="5" s="1"/>
  <c r="Z45" i="5"/>
  <c r="Z37" i="5"/>
  <c r="AA37" i="5" s="1"/>
  <c r="Z31" i="5"/>
  <c r="AA31" i="5" s="1"/>
  <c r="Z23" i="5"/>
  <c r="AB23" i="5" s="1"/>
  <c r="Z148" i="5"/>
  <c r="AB148" i="5" s="1"/>
  <c r="Z132" i="5"/>
  <c r="AA132" i="5" s="1"/>
  <c r="Z124" i="5"/>
  <c r="AA124" i="5" s="1"/>
  <c r="Z108" i="5"/>
  <c r="AB108" i="5" s="1"/>
  <c r="Z92" i="5"/>
  <c r="AA92" i="5" s="1"/>
  <c r="Z84" i="5"/>
  <c r="AB84" i="5" s="1"/>
  <c r="Z68" i="5"/>
  <c r="Z52" i="5"/>
  <c r="AB52" i="5" s="1"/>
  <c r="Z36" i="5"/>
  <c r="AB36" i="5" s="1"/>
  <c r="Z22" i="5"/>
  <c r="Z171" i="5"/>
  <c r="AA171" i="5" s="1"/>
  <c r="Z139" i="5"/>
  <c r="AA139" i="5" s="1"/>
  <c r="Z123" i="5"/>
  <c r="AA123" i="5" s="1"/>
  <c r="Z83" i="5"/>
  <c r="AA83" i="5" s="1"/>
  <c r="Z51" i="5"/>
  <c r="AA51" i="5" s="1"/>
  <c r="Z556" i="5"/>
  <c r="Z548" i="5"/>
  <c r="AB548" i="5" s="1"/>
  <c r="Z540" i="5"/>
  <c r="AB540" i="5" s="1"/>
  <c r="Z532" i="5"/>
  <c r="AA532" i="5" s="1"/>
  <c r="Z524" i="5"/>
  <c r="AA524" i="5" s="1"/>
  <c r="Z516" i="5"/>
  <c r="AB516" i="5" s="1"/>
  <c r="Z508" i="5"/>
  <c r="Z500" i="5"/>
  <c r="Z492" i="5"/>
  <c r="AB492" i="5" s="1"/>
  <c r="Z484" i="5"/>
  <c r="AB484" i="5" s="1"/>
  <c r="Z476" i="5"/>
  <c r="Z468" i="5"/>
  <c r="AB468" i="5" s="1"/>
  <c r="Z460" i="5"/>
  <c r="AA460" i="5" s="1"/>
  <c r="Z452" i="5"/>
  <c r="AA452" i="5" s="1"/>
  <c r="Z444" i="5"/>
  <c r="AB444" i="5" s="1"/>
  <c r="Z436" i="5"/>
  <c r="AA436" i="5" s="1"/>
  <c r="Z428" i="5"/>
  <c r="AB428" i="5" s="1"/>
  <c r="Z420" i="5"/>
  <c r="AB420" i="5" s="1"/>
  <c r="Z412" i="5"/>
  <c r="AA412" i="5" s="1"/>
  <c r="Z404" i="5"/>
  <c r="AB404" i="5" s="1"/>
  <c r="Z396" i="5"/>
  <c r="AA396" i="5" s="1"/>
  <c r="Z388" i="5"/>
  <c r="AA388" i="5" s="1"/>
  <c r="Z380" i="5"/>
  <c r="AA380" i="5" s="1"/>
  <c r="Z372" i="5"/>
  <c r="AB372" i="5" s="1"/>
  <c r="Z364" i="5"/>
  <c r="AB364" i="5" s="1"/>
  <c r="Z356" i="5"/>
  <c r="AA356" i="5" s="1"/>
  <c r="Z348" i="5"/>
  <c r="AA348" i="5" s="1"/>
  <c r="Z340" i="5"/>
  <c r="AB340" i="5" s="1"/>
  <c r="Z332" i="5"/>
  <c r="AA332" i="5" s="1"/>
  <c r="Z324" i="5"/>
  <c r="AB324" i="5" s="1"/>
  <c r="Z316" i="5"/>
  <c r="AA316" i="5" s="1"/>
  <c r="Z308" i="5"/>
  <c r="Z300" i="5"/>
  <c r="Z292" i="5"/>
  <c r="AA292" i="5" s="1"/>
  <c r="Z284" i="5"/>
  <c r="AB284" i="5" s="1"/>
  <c r="Z276" i="5"/>
  <c r="AB276" i="5" s="1"/>
  <c r="Z268" i="5"/>
  <c r="AA268" i="5" s="1"/>
  <c r="Z260" i="5"/>
  <c r="AB260" i="5" s="1"/>
  <c r="Z252" i="5"/>
  <c r="AB252" i="5" s="1"/>
  <c r="Z244" i="5"/>
  <c r="AB244" i="5" s="1"/>
  <c r="Z236" i="5"/>
  <c r="AB236" i="5" s="1"/>
  <c r="Z228" i="5"/>
  <c r="AA228" i="5" s="1"/>
  <c r="Z220" i="5"/>
  <c r="AA220" i="5" s="1"/>
  <c r="Z212" i="5"/>
  <c r="AB212" i="5" s="1"/>
  <c r="Z204" i="5"/>
  <c r="Z196" i="5"/>
  <c r="AA196" i="5" s="1"/>
  <c r="Z188" i="5"/>
  <c r="AB188" i="5" s="1"/>
  <c r="Z180" i="5"/>
  <c r="AB180" i="5" s="1"/>
  <c r="Z172" i="5"/>
  <c r="AB172" i="5" s="1"/>
  <c r="Z164" i="5"/>
  <c r="AB164" i="5" s="1"/>
  <c r="Z156" i="5"/>
  <c r="AA156" i="5" s="1"/>
  <c r="Z140" i="5"/>
  <c r="AB140" i="5" s="1"/>
  <c r="Z116" i="5"/>
  <c r="AB116" i="5" s="1"/>
  <c r="Z100" i="5"/>
  <c r="AB100" i="5" s="1"/>
  <c r="Z76" i="5"/>
  <c r="AA76" i="5" s="1"/>
  <c r="Z60" i="5"/>
  <c r="AB60" i="5" s="1"/>
  <c r="Z44" i="5"/>
  <c r="Z30" i="5"/>
  <c r="AA30" i="5" s="1"/>
  <c r="Z8" i="5"/>
  <c r="AA8" i="5" s="1"/>
  <c r="Z155" i="5"/>
  <c r="AB155" i="5" s="1"/>
  <c r="Z99" i="5"/>
  <c r="Z59" i="5"/>
  <c r="AB59" i="5" s="1"/>
  <c r="Z555" i="5"/>
  <c r="Z547" i="5"/>
  <c r="AB547" i="5" s="1"/>
  <c r="Z539" i="5"/>
  <c r="AB539" i="5" s="1"/>
  <c r="Z531" i="5"/>
  <c r="AB531" i="5" s="1"/>
  <c r="Z523" i="5"/>
  <c r="AB523" i="5" s="1"/>
  <c r="Z515" i="5"/>
  <c r="AB515" i="5" s="1"/>
  <c r="Z507" i="5"/>
  <c r="AA507" i="5" s="1"/>
  <c r="Z499" i="5"/>
  <c r="AB499" i="5" s="1"/>
  <c r="Z491" i="5"/>
  <c r="AA491" i="5" s="1"/>
  <c r="Z483" i="5"/>
  <c r="Z475" i="5"/>
  <c r="AB475" i="5" s="1"/>
  <c r="Z467" i="5"/>
  <c r="AB467" i="5" s="1"/>
  <c r="Z459" i="5"/>
  <c r="AA459" i="5" s="1"/>
  <c r="Z451" i="5"/>
  <c r="Z443" i="5"/>
  <c r="AA443" i="5" s="1"/>
  <c r="Z435" i="5"/>
  <c r="AB435" i="5" s="1"/>
  <c r="Z427" i="5"/>
  <c r="Z419" i="5"/>
  <c r="AA419" i="5" s="1"/>
  <c r="Z411" i="5"/>
  <c r="AA411" i="5" s="1"/>
  <c r="Z403" i="5"/>
  <c r="AA403" i="5" s="1"/>
  <c r="Z395" i="5"/>
  <c r="Z387" i="5"/>
  <c r="AB387" i="5" s="1"/>
  <c r="Z379" i="5"/>
  <c r="AA379" i="5" s="1"/>
  <c r="Z371" i="5"/>
  <c r="AA371" i="5" s="1"/>
  <c r="Z363" i="5"/>
  <c r="AB363" i="5" s="1"/>
  <c r="Z355" i="5"/>
  <c r="AB355" i="5" s="1"/>
  <c r="Z347" i="5"/>
  <c r="AA347" i="5" s="1"/>
  <c r="Z339" i="5"/>
  <c r="Z331" i="5"/>
  <c r="AA331" i="5" s="1"/>
  <c r="Z323" i="5"/>
  <c r="Z315" i="5"/>
  <c r="AB315" i="5" s="1"/>
  <c r="Z307" i="5"/>
  <c r="AA307" i="5" s="1"/>
  <c r="Z299" i="5"/>
  <c r="AA299" i="5" s="1"/>
  <c r="Z291" i="5"/>
  <c r="AA291" i="5" s="1"/>
  <c r="Z283" i="5"/>
  <c r="AB283" i="5" s="1"/>
  <c r="Z275" i="5"/>
  <c r="AB275" i="5" s="1"/>
  <c r="Z267" i="5"/>
  <c r="AB267" i="5" s="1"/>
  <c r="Z259" i="5"/>
  <c r="AA259" i="5" s="1"/>
  <c r="Z251" i="5"/>
  <c r="AB251" i="5" s="1"/>
  <c r="Z243" i="5"/>
  <c r="AB243" i="5" s="1"/>
  <c r="Z235" i="5"/>
  <c r="AA235" i="5" s="1"/>
  <c r="Z227" i="5"/>
  <c r="AB227" i="5" s="1"/>
  <c r="Z219" i="5"/>
  <c r="AA219" i="5" s="1"/>
  <c r="Z211" i="5"/>
  <c r="AA211" i="5" s="1"/>
  <c r="Z203" i="5"/>
  <c r="AA203" i="5" s="1"/>
  <c r="Z195" i="5"/>
  <c r="AA195" i="5" s="1"/>
  <c r="Z187" i="5"/>
  <c r="AB187" i="5" s="1"/>
  <c r="Z179" i="5"/>
  <c r="AA179" i="5" s="1"/>
  <c r="Z163" i="5"/>
  <c r="AA163" i="5" s="1"/>
  <c r="Z115" i="5"/>
  <c r="Z75" i="5"/>
  <c r="Z554" i="5"/>
  <c r="AA554" i="5" s="1"/>
  <c r="Z546" i="5"/>
  <c r="AA546" i="5" s="1"/>
  <c r="Z538" i="5"/>
  <c r="AB538" i="5" s="1"/>
  <c r="Z530" i="5"/>
  <c r="Z522" i="5"/>
  <c r="AA522" i="5" s="1"/>
  <c r="Z514" i="5"/>
  <c r="AB514" i="5" s="1"/>
  <c r="Z506" i="5"/>
  <c r="AB506" i="5" s="1"/>
  <c r="Z498" i="5"/>
  <c r="AA498" i="5" s="1"/>
  <c r="Z490" i="5"/>
  <c r="AB490" i="5" s="1"/>
  <c r="Z482" i="5"/>
  <c r="Z474" i="5"/>
  <c r="AA474" i="5" s="1"/>
  <c r="Z466" i="5"/>
  <c r="Z458" i="5"/>
  <c r="AA458" i="5" s="1"/>
  <c r="Z450" i="5"/>
  <c r="Z442" i="5"/>
  <c r="AB442" i="5" s="1"/>
  <c r="Z434" i="5"/>
  <c r="Z426" i="5"/>
  <c r="AA426" i="5" s="1"/>
  <c r="Z418" i="5"/>
  <c r="AB418" i="5" s="1"/>
  <c r="Z410" i="5"/>
  <c r="AB410" i="5" s="1"/>
  <c r="Z402" i="5"/>
  <c r="AB402" i="5" s="1"/>
  <c r="Z394" i="5"/>
  <c r="AB394" i="5" s="1"/>
  <c r="Z386" i="5"/>
  <c r="AA386" i="5" s="1"/>
  <c r="Z378" i="5"/>
  <c r="Z370" i="5"/>
  <c r="AA370" i="5" s="1"/>
  <c r="Z362" i="5"/>
  <c r="AA362" i="5" s="1"/>
  <c r="Z354" i="5"/>
  <c r="AA354" i="5" s="1"/>
  <c r="Z346" i="5"/>
  <c r="AB346" i="5" s="1"/>
  <c r="Z338" i="5"/>
  <c r="AB338" i="5" s="1"/>
  <c r="Z330" i="5"/>
  <c r="AB330" i="5" s="1"/>
  <c r="Z322" i="5"/>
  <c r="AA322" i="5" s="1"/>
  <c r="Z314" i="5"/>
  <c r="AB314" i="5" s="1"/>
  <c r="Z306" i="5"/>
  <c r="AB306" i="5" s="1"/>
  <c r="Z298" i="5"/>
  <c r="AA298" i="5" s="1"/>
  <c r="Z290" i="5"/>
  <c r="AB290" i="5" s="1"/>
  <c r="Z282" i="5"/>
  <c r="AB282" i="5" s="1"/>
  <c r="Z274" i="5"/>
  <c r="AA274" i="5" s="1"/>
  <c r="Z266" i="5"/>
  <c r="Z258" i="5"/>
  <c r="AB258" i="5" s="1"/>
  <c r="Z250" i="5"/>
  <c r="AB250" i="5" s="1"/>
  <c r="Z242" i="5"/>
  <c r="AA242" i="5" s="1"/>
  <c r="Z234" i="5"/>
  <c r="Z226" i="5"/>
  <c r="AA226" i="5" s="1"/>
  <c r="Z218" i="5"/>
  <c r="Z210" i="5"/>
  <c r="Z202" i="5"/>
  <c r="AA202" i="5" s="1"/>
  <c r="Z194" i="5"/>
  <c r="AB194" i="5" s="1"/>
  <c r="Z186" i="5"/>
  <c r="Z178" i="5"/>
  <c r="Z170" i="5"/>
  <c r="AB170" i="5" s="1"/>
  <c r="Z162" i="5"/>
  <c r="AB162" i="5" s="1"/>
  <c r="Z154" i="5"/>
  <c r="AA154" i="5" s="1"/>
  <c r="Z146" i="5"/>
  <c r="AB146" i="5" s="1"/>
  <c r="Z138" i="5"/>
  <c r="AB138" i="5" s="1"/>
  <c r="Z130" i="5"/>
  <c r="AA130" i="5" s="1"/>
  <c r="Z122" i="5"/>
  <c r="Z114" i="5"/>
  <c r="AB114" i="5" s="1"/>
  <c r="Z106" i="5"/>
  <c r="AB106" i="5" s="1"/>
  <c r="Z98" i="5"/>
  <c r="AA98" i="5" s="1"/>
  <c r="Z90" i="5"/>
  <c r="AB90" i="5" s="1"/>
  <c r="Z82" i="5"/>
  <c r="AB82" i="5" s="1"/>
  <c r="Z74" i="5"/>
  <c r="AA74" i="5" s="1"/>
  <c r="Z66" i="5"/>
  <c r="AB66" i="5" s="1"/>
  <c r="Z58" i="5"/>
  <c r="Z50" i="5"/>
  <c r="AB50" i="5" s="1"/>
  <c r="Z42" i="5"/>
  <c r="AA42" i="5" s="1"/>
  <c r="Z35" i="5"/>
  <c r="Z28" i="5"/>
  <c r="AB28" i="5" s="1"/>
  <c r="Z20" i="5"/>
  <c r="Z121" i="5"/>
  <c r="AA121" i="5" s="1"/>
  <c r="Z105" i="5"/>
  <c r="AA105" i="5" s="1"/>
  <c r="Z89" i="5"/>
  <c r="AB89" i="5" s="1"/>
  <c r="Z73" i="5"/>
  <c r="Z57" i="5"/>
  <c r="AB57" i="5" s="1"/>
  <c r="Z41" i="5"/>
  <c r="AA41" i="5" s="1"/>
  <c r="Z27" i="5"/>
  <c r="AB27" i="5" s="1"/>
  <c r="Z19" i="5"/>
  <c r="AA19" i="5" s="1"/>
  <c r="Z120" i="5"/>
  <c r="AA120" i="5" s="1"/>
  <c r="Z104" i="5"/>
  <c r="AB104" i="5" s="1"/>
  <c r="Z88" i="5"/>
  <c r="AA88" i="5" s="1"/>
  <c r="Z64" i="5"/>
  <c r="AB64" i="5" s="1"/>
  <c r="Z40" i="5"/>
  <c r="AA40" i="5" s="1"/>
  <c r="Z13" i="5"/>
  <c r="Z553" i="5"/>
  <c r="AB553" i="5" s="1"/>
  <c r="Z545" i="5"/>
  <c r="AA545" i="5" s="1"/>
  <c r="Z537" i="5"/>
  <c r="AA537" i="5" s="1"/>
  <c r="Z529" i="5"/>
  <c r="AA529" i="5" s="1"/>
  <c r="Z521" i="5"/>
  <c r="AA521" i="5" s="1"/>
  <c r="Z513" i="5"/>
  <c r="AA513" i="5" s="1"/>
  <c r="Z505" i="5"/>
  <c r="Z497" i="5"/>
  <c r="AB497" i="5" s="1"/>
  <c r="Z489" i="5"/>
  <c r="AB489" i="5" s="1"/>
  <c r="Z481" i="5"/>
  <c r="Z473" i="5"/>
  <c r="AA473" i="5" s="1"/>
  <c r="Z465" i="5"/>
  <c r="Z457" i="5"/>
  <c r="AB457" i="5" s="1"/>
  <c r="Z449" i="5"/>
  <c r="AA449" i="5" s="1"/>
  <c r="Z441" i="5"/>
  <c r="AB441" i="5" s="1"/>
  <c r="Z433" i="5"/>
  <c r="Z425" i="5"/>
  <c r="AA425" i="5" s="1"/>
  <c r="Z417" i="5"/>
  <c r="AA417" i="5" s="1"/>
  <c r="Z409" i="5"/>
  <c r="AB409" i="5" s="1"/>
  <c r="Z401" i="5"/>
  <c r="AA401" i="5" s="1"/>
  <c r="Z393" i="5"/>
  <c r="AA393" i="5" s="1"/>
  <c r="Z385" i="5"/>
  <c r="AB385" i="5" s="1"/>
  <c r="Z377" i="5"/>
  <c r="Z369" i="5"/>
  <c r="AB369" i="5" s="1"/>
  <c r="Z361" i="5"/>
  <c r="AB361" i="5" s="1"/>
  <c r="Z353" i="5"/>
  <c r="Z345" i="5"/>
  <c r="Z337" i="5"/>
  <c r="AB337" i="5" s="1"/>
  <c r="Z329" i="5"/>
  <c r="AB329" i="5" s="1"/>
  <c r="Z321" i="5"/>
  <c r="AB321" i="5" s="1"/>
  <c r="Z313" i="5"/>
  <c r="AB313" i="5" s="1"/>
  <c r="Z305" i="5"/>
  <c r="AB305" i="5" s="1"/>
  <c r="Z297" i="5"/>
  <c r="AB297" i="5" s="1"/>
  <c r="Z289" i="5"/>
  <c r="AB289" i="5" s="1"/>
  <c r="Z281" i="5"/>
  <c r="AB281" i="5" s="1"/>
  <c r="Z273" i="5"/>
  <c r="AB273" i="5" s="1"/>
  <c r="Z265" i="5"/>
  <c r="AB265" i="5" s="1"/>
  <c r="Z257" i="5"/>
  <c r="Z249" i="5"/>
  <c r="AA249" i="5" s="1"/>
  <c r="Z241" i="5"/>
  <c r="AB241" i="5" s="1"/>
  <c r="Z233" i="5"/>
  <c r="AA233" i="5" s="1"/>
  <c r="Z225" i="5"/>
  <c r="AB225" i="5" s="1"/>
  <c r="Z217" i="5"/>
  <c r="AA217" i="5" s="1"/>
  <c r="Z209" i="5"/>
  <c r="AA209" i="5" s="1"/>
  <c r="Z201" i="5"/>
  <c r="AB201" i="5" s="1"/>
  <c r="Z193" i="5"/>
  <c r="AB193" i="5" s="1"/>
  <c r="Z185" i="5"/>
  <c r="AB185" i="5" s="1"/>
  <c r="Z177" i="5"/>
  <c r="AB177" i="5" s="1"/>
  <c r="Z169" i="5"/>
  <c r="AA169" i="5" s="1"/>
  <c r="Z161" i="5"/>
  <c r="AA161" i="5" s="1"/>
  <c r="Z153" i="5"/>
  <c r="AB153" i="5" s="1"/>
  <c r="Z145" i="5"/>
  <c r="Z137" i="5"/>
  <c r="AB137" i="5" s="1"/>
  <c r="Z129" i="5"/>
  <c r="AB129" i="5" s="1"/>
  <c r="Z113" i="5"/>
  <c r="Z97" i="5"/>
  <c r="AB97" i="5" s="1"/>
  <c r="Z81" i="5"/>
  <c r="Z65" i="5"/>
  <c r="Z49" i="5"/>
  <c r="AA49" i="5" s="1"/>
  <c r="Z72" i="5"/>
  <c r="AB72" i="5" s="1"/>
  <c r="Z48" i="5"/>
  <c r="AB48" i="5" s="1"/>
  <c r="Z26" i="5"/>
  <c r="AB26" i="5" s="1"/>
  <c r="Z21" i="5"/>
  <c r="AJ9" i="5"/>
  <c r="AK9" i="5" s="1"/>
  <c r="Z9" i="5"/>
  <c r="S240" i="5"/>
  <c r="R312" i="5"/>
  <c r="T11" i="5"/>
  <c r="U11" i="5" s="1"/>
  <c r="Z11" i="5"/>
  <c r="AB11" i="5" s="1"/>
  <c r="R320" i="5"/>
  <c r="S128" i="5"/>
  <c r="U45" i="5"/>
  <c r="AP38" i="5"/>
  <c r="AR38" i="5" s="1"/>
  <c r="AP110" i="5"/>
  <c r="AR110" i="5" s="1"/>
  <c r="AP47" i="5"/>
  <c r="AR47" i="5" s="1"/>
  <c r="AP92" i="5"/>
  <c r="AQ92" i="5" s="1"/>
  <c r="AP64" i="5"/>
  <c r="AQ64" i="5" s="1"/>
  <c r="V97" i="5"/>
  <c r="AP340" i="5"/>
  <c r="AR340" i="5" s="1"/>
  <c r="R472" i="5"/>
  <c r="V534" i="5"/>
  <c r="Y184" i="5"/>
  <c r="AP189" i="5"/>
  <c r="AQ189" i="5" s="1"/>
  <c r="V145" i="5"/>
  <c r="V54" i="5"/>
  <c r="AP238" i="5"/>
  <c r="AQ238" i="5" s="1"/>
  <c r="AP42" i="5"/>
  <c r="AR42" i="5" s="1"/>
  <c r="AP506" i="5"/>
  <c r="AQ506" i="5" s="1"/>
  <c r="U143" i="5"/>
  <c r="S224" i="5"/>
  <c r="Y179" i="5"/>
  <c r="Y326" i="5"/>
  <c r="AP112" i="5"/>
  <c r="AR112" i="5" s="1"/>
  <c r="AP497" i="5"/>
  <c r="AR497" i="5" s="1"/>
  <c r="AP276" i="5"/>
  <c r="AR276" i="5" s="1"/>
  <c r="AP146" i="5"/>
  <c r="AQ146" i="5" s="1"/>
  <c r="V99" i="5"/>
  <c r="AL227" i="5"/>
  <c r="S136" i="5"/>
  <c r="R216" i="5"/>
  <c r="R232" i="5"/>
  <c r="Y289" i="5"/>
  <c r="Y51" i="5"/>
  <c r="AP252" i="5"/>
  <c r="AQ252" i="5" s="1"/>
  <c r="AP159" i="5"/>
  <c r="AR159" i="5" s="1"/>
  <c r="AP406" i="5"/>
  <c r="AQ406" i="5" s="1"/>
  <c r="V21" i="5"/>
  <c r="X553" i="5"/>
  <c r="Y554" i="5"/>
  <c r="X465" i="5"/>
  <c r="AN64" i="5"/>
  <c r="Y260" i="5"/>
  <c r="X274" i="5"/>
  <c r="AP119" i="5"/>
  <c r="AQ119" i="5" s="1"/>
  <c r="AP346" i="5"/>
  <c r="AR346" i="5" s="1"/>
  <c r="AP182" i="5"/>
  <c r="AR182" i="5" s="1"/>
  <c r="V102" i="5"/>
  <c r="AP72" i="5"/>
  <c r="AQ72" i="5" s="1"/>
  <c r="AP54" i="5"/>
  <c r="AR54" i="5" s="1"/>
  <c r="Y448" i="5"/>
  <c r="R280" i="5"/>
  <c r="R152" i="5"/>
  <c r="Y301" i="5"/>
  <c r="Y458" i="5"/>
  <c r="P487" i="5"/>
  <c r="S112" i="5"/>
  <c r="S208" i="5"/>
  <c r="S64" i="5"/>
  <c r="K28" i="2"/>
  <c r="K27" i="2"/>
  <c r="AP486" i="5"/>
  <c r="AQ486" i="5" s="1"/>
  <c r="AP359" i="5"/>
  <c r="AR359" i="5" s="1"/>
  <c r="AP470" i="5"/>
  <c r="AQ470" i="5" s="1"/>
  <c r="AP245" i="5"/>
  <c r="AR245" i="5" s="1"/>
  <c r="AP418" i="5"/>
  <c r="AQ418" i="5" s="1"/>
  <c r="AP258" i="5"/>
  <c r="AQ258" i="5" s="1"/>
  <c r="AP233" i="5"/>
  <c r="AQ233" i="5" s="1"/>
  <c r="AP476" i="5"/>
  <c r="AR476" i="5" s="1"/>
  <c r="AP536" i="5"/>
  <c r="AR536" i="5" s="1"/>
  <c r="AP560" i="5"/>
  <c r="AQ560" i="5" s="1"/>
  <c r="AP485" i="5"/>
  <c r="AR485" i="5" s="1"/>
  <c r="AP335" i="5"/>
  <c r="AR335" i="5" s="1"/>
  <c r="AP398" i="5"/>
  <c r="AQ398" i="5" s="1"/>
  <c r="N31" i="2"/>
  <c r="AP284" i="5"/>
  <c r="AQ284" i="5" s="1"/>
  <c r="AP24" i="5"/>
  <c r="AR24" i="5" s="1"/>
  <c r="AP306" i="5"/>
  <c r="AR306" i="5" s="1"/>
  <c r="B50" i="5"/>
  <c r="M31" i="2"/>
  <c r="AP512" i="5"/>
  <c r="AQ512" i="5" s="1"/>
  <c r="B153" i="2"/>
  <c r="H39" i="1" s="1"/>
  <c r="L31" i="2"/>
  <c r="AP364" i="5"/>
  <c r="AQ364" i="5" s="1"/>
  <c r="AK451" i="5"/>
  <c r="AP300" i="5"/>
  <c r="AQ300" i="5" s="1"/>
  <c r="M35" i="2"/>
  <c r="N35" i="2" s="1"/>
  <c r="AP492" i="5"/>
  <c r="AQ492" i="5" s="1"/>
  <c r="AP557" i="5"/>
  <c r="AQ557" i="5" s="1"/>
  <c r="AP451" i="5"/>
  <c r="AQ451" i="5" s="1"/>
  <c r="X96" i="5"/>
  <c r="X129" i="5"/>
  <c r="Y437" i="5"/>
  <c r="Y320" i="5"/>
  <c r="X319" i="5"/>
  <c r="R392" i="5"/>
  <c r="X156" i="5"/>
  <c r="X276" i="5"/>
  <c r="X399" i="5"/>
  <c r="Y342" i="5"/>
  <c r="S416" i="5"/>
  <c r="R432" i="5"/>
  <c r="Y35" i="5"/>
  <c r="X432" i="5"/>
  <c r="X451" i="5"/>
  <c r="Y28" i="5"/>
  <c r="X100" i="5"/>
  <c r="X394" i="5"/>
  <c r="Y286" i="5"/>
  <c r="R80" i="5"/>
  <c r="X491" i="5"/>
  <c r="S304" i="5"/>
  <c r="S8" i="5"/>
  <c r="Y211" i="5"/>
  <c r="Y69" i="5"/>
  <c r="X240" i="5"/>
  <c r="X355" i="5"/>
  <c r="Y214" i="5"/>
  <c r="X215" i="5"/>
  <c r="X412" i="5"/>
  <c r="Y126" i="5"/>
  <c r="Y517" i="5"/>
  <c r="X310" i="5"/>
  <c r="R488" i="5"/>
  <c r="S104" i="5"/>
  <c r="S344" i="5"/>
  <c r="R464" i="5"/>
  <c r="R32" i="5"/>
  <c r="R40" i="5"/>
  <c r="R456" i="5"/>
  <c r="R424" i="5"/>
  <c r="R168" i="5"/>
  <c r="X218" i="5"/>
  <c r="X259" i="5"/>
  <c r="X192" i="5"/>
  <c r="X52" i="5"/>
  <c r="X525" i="5"/>
  <c r="Y45" i="5"/>
  <c r="X434" i="5"/>
  <c r="Y531" i="5"/>
  <c r="Y55" i="5"/>
  <c r="Y158" i="5"/>
  <c r="X426" i="5"/>
  <c r="Y314" i="5"/>
  <c r="X95" i="5"/>
  <c r="X43" i="5"/>
  <c r="X518" i="5"/>
  <c r="Y264" i="5"/>
  <c r="S448" i="5"/>
  <c r="Y83" i="5"/>
  <c r="X313" i="5"/>
  <c r="Y389" i="5"/>
  <c r="Y383" i="5"/>
  <c r="R512" i="5"/>
  <c r="Y415" i="5"/>
  <c r="Y120" i="5"/>
  <c r="Y219" i="5"/>
  <c r="X128" i="5"/>
  <c r="X334" i="5"/>
  <c r="X117" i="5"/>
  <c r="X329" i="5"/>
  <c r="X155" i="5"/>
  <c r="X278" i="5"/>
  <c r="Y277" i="5"/>
  <c r="Y106" i="5"/>
  <c r="X533" i="5"/>
  <c r="R256" i="5"/>
  <c r="Y378" i="5"/>
  <c r="X302" i="5"/>
  <c r="V117" i="4"/>
  <c r="W117" i="4" s="1"/>
  <c r="Y117" i="4" s="1"/>
  <c r="AS26" i="4"/>
  <c r="U117" i="4"/>
  <c r="AH117" i="4" s="1"/>
  <c r="U115" i="4"/>
  <c r="AH115" i="4" s="1"/>
  <c r="AS87" i="4"/>
  <c r="AS37" i="4"/>
  <c r="U125" i="4"/>
  <c r="AH125" i="4" s="1"/>
  <c r="AS57" i="4"/>
  <c r="V46" i="4"/>
  <c r="AM46" i="4" s="1"/>
  <c r="AN46" i="4" s="1"/>
  <c r="AS115" i="4"/>
  <c r="V37" i="4"/>
  <c r="AM37" i="4" s="1"/>
  <c r="AN37" i="4" s="1"/>
  <c r="V61" i="4"/>
  <c r="AM61" i="4" s="1"/>
  <c r="AN61" i="4" s="1"/>
  <c r="V125" i="4"/>
  <c r="AM125" i="4" s="1"/>
  <c r="AN125" i="4" s="1"/>
  <c r="U14" i="4"/>
  <c r="AH14" i="4" s="1"/>
  <c r="V26" i="4"/>
  <c r="U37" i="4"/>
  <c r="AH37" i="4" s="1"/>
  <c r="V145" i="4"/>
  <c r="AM145" i="4" s="1"/>
  <c r="AN145" i="4" s="1"/>
  <c r="V57" i="4"/>
  <c r="AM57" i="4" s="1"/>
  <c r="AN57" i="4" s="1"/>
  <c r="U46" i="4"/>
  <c r="AH46" i="4" s="1"/>
  <c r="U20" i="4"/>
  <c r="AH20" i="4" s="1"/>
  <c r="U61" i="4"/>
  <c r="AH61" i="4" s="1"/>
  <c r="AS125" i="4"/>
  <c r="U134" i="4"/>
  <c r="AH134" i="4" s="1"/>
  <c r="U87" i="4"/>
  <c r="AH87" i="4" s="1"/>
  <c r="AS131" i="4"/>
  <c r="U145" i="4"/>
  <c r="AH145" i="4" s="1"/>
  <c r="AS46" i="4"/>
  <c r="U142" i="4"/>
  <c r="AH142" i="4" s="1"/>
  <c r="AS20" i="4"/>
  <c r="AS61" i="4"/>
  <c r="V12" i="4"/>
  <c r="AM12" i="4" s="1"/>
  <c r="AN12" i="4" s="1"/>
  <c r="V115" i="4"/>
  <c r="W115" i="4" s="1"/>
  <c r="Y115" i="4" s="1"/>
  <c r="AS145" i="4"/>
  <c r="V16" i="4"/>
  <c r="W16" i="4" s="1"/>
  <c r="Y16" i="4" s="1"/>
  <c r="AS142" i="4"/>
  <c r="V20" i="4"/>
  <c r="AM20" i="4" s="1"/>
  <c r="AN20" i="4" s="1"/>
  <c r="V14" i="4"/>
  <c r="AM14" i="4" s="1"/>
  <c r="AN14" i="4" s="1"/>
  <c r="V66" i="4"/>
  <c r="AM66" i="4" s="1"/>
  <c r="AN66" i="4" s="1"/>
  <c r="U18" i="4"/>
  <c r="U128" i="4"/>
  <c r="AH128" i="4" s="1"/>
  <c r="U57" i="4"/>
  <c r="AH57" i="4" s="1"/>
  <c r="V142" i="4"/>
  <c r="AM142" i="4" s="1"/>
  <c r="AN142" i="4" s="1"/>
  <c r="U16" i="4"/>
  <c r="AH16" i="4" s="1"/>
  <c r="V134" i="4"/>
  <c r="W134" i="4" s="1"/>
  <c r="V128" i="4"/>
  <c r="W128" i="4" s="1"/>
  <c r="AS14" i="4"/>
  <c r="U66" i="4"/>
  <c r="AH66" i="4" s="1"/>
  <c r="X395" i="5"/>
  <c r="Y363" i="5"/>
  <c r="X363" i="5"/>
  <c r="X167" i="5"/>
  <c r="Y167" i="5"/>
  <c r="S546" i="5"/>
  <c r="R546" i="5"/>
  <c r="Y145" i="5"/>
  <c r="X266" i="5"/>
  <c r="Y266" i="5"/>
  <c r="X479" i="5"/>
  <c r="Y479" i="5"/>
  <c r="Y373" i="5"/>
  <c r="X373" i="5"/>
  <c r="X68" i="5"/>
  <c r="Y68" i="5"/>
  <c r="X154" i="5"/>
  <c r="Y154" i="5"/>
  <c r="X132" i="5"/>
  <c r="Y132" i="5"/>
  <c r="X366" i="5"/>
  <c r="Y366" i="5"/>
  <c r="Y262" i="5"/>
  <c r="X262" i="5"/>
  <c r="R376" i="5"/>
  <c r="S376" i="5"/>
  <c r="Y110" i="5"/>
  <c r="X110" i="5"/>
  <c r="Y282" i="5"/>
  <c r="X282" i="5"/>
  <c r="R368" i="5"/>
  <c r="S368" i="5"/>
  <c r="Y331" i="5"/>
  <c r="X331" i="5"/>
  <c r="Y557" i="5"/>
  <c r="X557" i="5"/>
  <c r="R176" i="5"/>
  <c r="S176" i="5"/>
  <c r="S200" i="5"/>
  <c r="R200" i="5"/>
  <c r="S534" i="5"/>
  <c r="R534" i="5"/>
  <c r="X112" i="5"/>
  <c r="Y112" i="5"/>
  <c r="X456" i="5"/>
  <c r="Y456" i="5"/>
  <c r="X343" i="5"/>
  <c r="Y343" i="5"/>
  <c r="S248" i="5"/>
  <c r="Y427" i="5"/>
  <c r="X427" i="5"/>
  <c r="R384" i="5"/>
  <c r="X29" i="5"/>
  <c r="Y56" i="5"/>
  <c r="X56" i="5"/>
  <c r="Y290" i="5"/>
  <c r="X290" i="5"/>
  <c r="Y272" i="5"/>
  <c r="X272" i="5"/>
  <c r="X85" i="5"/>
  <c r="Y50" i="5"/>
  <c r="X50" i="5"/>
  <c r="X269" i="5"/>
  <c r="Y269" i="5"/>
  <c r="Y125" i="5"/>
  <c r="X125" i="5"/>
  <c r="Y212" i="5"/>
  <c r="X212" i="5"/>
  <c r="R48" i="5"/>
  <c r="X137" i="5"/>
  <c r="Y484" i="5"/>
  <c r="Y441" i="5"/>
  <c r="R408" i="5"/>
  <c r="R72" i="5"/>
  <c r="Y323" i="5"/>
  <c r="X435" i="5"/>
  <c r="Y435" i="5"/>
  <c r="X405" i="5"/>
  <c r="Y405" i="5"/>
  <c r="X453" i="5"/>
  <c r="Y115" i="5"/>
  <c r="Y403" i="5"/>
  <c r="X403" i="5"/>
  <c r="R360" i="5"/>
  <c r="X202" i="5"/>
  <c r="S296" i="5"/>
  <c r="Y82" i="5"/>
  <c r="X200" i="5"/>
  <c r="R504" i="5"/>
  <c r="R336" i="5"/>
  <c r="S144" i="5"/>
  <c r="R496" i="5"/>
  <c r="Y332" i="5"/>
  <c r="X409" i="5"/>
  <c r="X86" i="5"/>
  <c r="Y130" i="5"/>
  <c r="Y321" i="5"/>
  <c r="Y288" i="5"/>
  <c r="X358" i="5"/>
  <c r="X541" i="5"/>
  <c r="Y510" i="5"/>
  <c r="R440" i="5"/>
  <c r="Y386" i="5"/>
  <c r="Y424" i="5"/>
  <c r="R264" i="5"/>
  <c r="X78" i="5"/>
  <c r="Y555" i="5"/>
  <c r="Y98" i="5"/>
  <c r="R24" i="5"/>
  <c r="Y63" i="5"/>
  <c r="X298" i="5"/>
  <c r="Y391" i="5"/>
  <c r="X299" i="5"/>
  <c r="Y72" i="5"/>
  <c r="Y361" i="5"/>
  <c r="X549" i="5"/>
  <c r="X60" i="5"/>
  <c r="X257" i="5"/>
  <c r="Y464" i="5"/>
  <c r="X229" i="5"/>
  <c r="X62" i="5"/>
  <c r="X537" i="5"/>
  <c r="Y542" i="5"/>
  <c r="Y287" i="5"/>
  <c r="X387" i="5"/>
  <c r="Y199" i="5"/>
  <c r="Y119" i="5"/>
  <c r="Y253" i="5"/>
  <c r="X198" i="5"/>
  <c r="Y506" i="5"/>
  <c r="X178" i="5"/>
  <c r="Y486" i="5"/>
  <c r="X505" i="5"/>
  <c r="Y189" i="5"/>
  <c r="Y237" i="5"/>
  <c r="X270" i="5"/>
  <c r="X89" i="5"/>
  <c r="Y454" i="5"/>
  <c r="X275" i="5"/>
  <c r="Y139" i="5"/>
  <c r="Y543" i="5"/>
  <c r="X478" i="5"/>
  <c r="X466" i="5"/>
  <c r="X21" i="5"/>
  <c r="Y281" i="5"/>
  <c r="X551" i="5"/>
  <c r="X23" i="5"/>
  <c r="Y38" i="5"/>
  <c r="X247" i="5"/>
  <c r="Y208" i="5"/>
  <c r="X482" i="5"/>
  <c r="Y433" i="5"/>
  <c r="R400" i="5"/>
  <c r="Y480" i="5"/>
  <c r="X511" i="5"/>
  <c r="S56" i="5"/>
  <c r="S272" i="5"/>
  <c r="Y382" i="5"/>
  <c r="Y473" i="5"/>
  <c r="X341" i="5"/>
  <c r="Y271" i="5"/>
  <c r="X300" i="5"/>
  <c r="Y172" i="5"/>
  <c r="Y460" i="5"/>
  <c r="Y305" i="5"/>
  <c r="X400" i="5"/>
  <c r="Y490" i="5"/>
  <c r="X390" i="5"/>
  <c r="X470" i="5"/>
  <c r="Y153" i="5"/>
  <c r="X222" i="5"/>
  <c r="X509" i="5"/>
  <c r="X393" i="5"/>
  <c r="X550" i="5"/>
  <c r="S120" i="5"/>
  <c r="Y293" i="5"/>
  <c r="X445" i="5"/>
  <c r="Y93" i="5"/>
  <c r="X351" i="5"/>
  <c r="Y353" i="5"/>
  <c r="X481" i="5"/>
  <c r="X223" i="5"/>
  <c r="X519" i="5"/>
  <c r="Y169" i="5"/>
  <c r="Y530" i="5"/>
  <c r="X174" i="5"/>
  <c r="X512" i="5"/>
  <c r="X428" i="5"/>
  <c r="X64" i="5"/>
  <c r="X248" i="5"/>
  <c r="X243" i="5"/>
  <c r="Y57" i="5"/>
  <c r="Y444" i="5"/>
  <c r="Y26" i="5"/>
  <c r="Y233" i="5"/>
  <c r="X58" i="5"/>
  <c r="X273" i="5"/>
  <c r="X475" i="5"/>
  <c r="X194" i="5"/>
  <c r="Y46" i="5"/>
  <c r="Y401" i="5"/>
  <c r="Y312" i="5"/>
  <c r="Y180" i="5"/>
  <c r="Y142" i="5"/>
  <c r="X304" i="5"/>
  <c r="W96" i="4"/>
  <c r="Y96" i="4" s="1"/>
  <c r="Y529" i="5"/>
  <c r="Y425" i="5"/>
  <c r="X498" i="5"/>
  <c r="Y131" i="5"/>
  <c r="W73" i="4"/>
  <c r="X73" i="4" s="1"/>
  <c r="X108" i="5"/>
  <c r="Y77" i="5"/>
  <c r="X102" i="5"/>
  <c r="X438" i="5"/>
  <c r="Y197" i="5"/>
  <c r="Y359" i="5"/>
  <c r="X552" i="5"/>
  <c r="X263" i="5"/>
  <c r="Y152" i="5"/>
  <c r="X535" i="5"/>
  <c r="X472" i="5"/>
  <c r="Y42" i="5"/>
  <c r="X36" i="5"/>
  <c r="X546" i="5"/>
  <c r="Y339" i="5"/>
  <c r="X254" i="5"/>
  <c r="Y196" i="5"/>
  <c r="X73" i="5"/>
  <c r="Y239" i="5"/>
  <c r="Y173" i="5"/>
  <c r="X61" i="5"/>
  <c r="Y296" i="5"/>
  <c r="Y381" i="5"/>
  <c r="Y48" i="5"/>
  <c r="X244" i="5"/>
  <c r="Y99" i="5"/>
  <c r="X258" i="5"/>
  <c r="Y22" i="5"/>
  <c r="X536" i="5"/>
  <c r="Y493" i="5"/>
  <c r="X133" i="5"/>
  <c r="Y284" i="5"/>
  <c r="Y463" i="5"/>
  <c r="Y350" i="5"/>
  <c r="Y357" i="5"/>
  <c r="Y317" i="5"/>
  <c r="Y187" i="5"/>
  <c r="Y485" i="5"/>
  <c r="X280" i="5"/>
  <c r="Y500" i="5"/>
  <c r="X507" i="5"/>
  <c r="Y291" i="5"/>
  <c r="X66" i="5"/>
  <c r="Y520" i="5"/>
  <c r="R184" i="5"/>
  <c r="X477" i="5"/>
  <c r="Y402" i="5"/>
  <c r="Y216" i="5"/>
  <c r="R538" i="5"/>
  <c r="Y440" i="5"/>
  <c r="Y101" i="5"/>
  <c r="X327" i="5"/>
  <c r="Y408" i="5"/>
  <c r="Y436" i="5"/>
  <c r="X191" i="5"/>
  <c r="Y376" i="5"/>
  <c r="X515" i="5"/>
  <c r="Y213" i="5"/>
  <c r="X474" i="5"/>
  <c r="Y84" i="5"/>
  <c r="Y346" i="5"/>
  <c r="X261" i="5"/>
  <c r="Y81" i="5"/>
  <c r="Y175" i="5"/>
  <c r="Y526" i="5"/>
  <c r="X392" i="5"/>
  <c r="X354" i="5"/>
  <c r="Y75" i="5"/>
  <c r="Y97" i="5"/>
  <c r="X372" i="5"/>
  <c r="X442" i="5"/>
  <c r="X249" i="5"/>
  <c r="Y487" i="5"/>
  <c r="Y492" i="5"/>
  <c r="Y410" i="5"/>
  <c r="R192" i="5"/>
  <c r="R160" i="5"/>
  <c r="Y238" i="5"/>
  <c r="Y92" i="5"/>
  <c r="Y148" i="5"/>
  <c r="Y20" i="5"/>
  <c r="Y422" i="5"/>
  <c r="Y59" i="5"/>
  <c r="Y267" i="5"/>
  <c r="X32" i="5"/>
  <c r="X79" i="5"/>
  <c r="X201" i="5"/>
  <c r="R352" i="5"/>
  <c r="Y360" i="5"/>
  <c r="X210" i="5"/>
  <c r="X183" i="5"/>
  <c r="Y385" i="5"/>
  <c r="Y279" i="5"/>
  <c r="X504" i="5"/>
  <c r="X88" i="5"/>
  <c r="X559" i="5"/>
  <c r="X170" i="5"/>
  <c r="X283" i="5"/>
  <c r="Y39" i="5"/>
  <c r="X234" i="5"/>
  <c r="X501" i="5"/>
  <c r="X232" i="5"/>
  <c r="X538" i="5"/>
  <c r="X344" i="5"/>
  <c r="Y503" i="5"/>
  <c r="X165" i="5"/>
  <c r="X168" i="5"/>
  <c r="Y265" i="5"/>
  <c r="Y255" i="5"/>
  <c r="X488" i="5"/>
  <c r="X483" i="5"/>
  <c r="X497" i="5"/>
  <c r="X160" i="5"/>
  <c r="X136" i="5"/>
  <c r="Y423" i="5"/>
  <c r="Y121" i="5"/>
  <c r="X455" i="5"/>
  <c r="X508" i="5"/>
  <c r="X164" i="5"/>
  <c r="X375" i="5"/>
  <c r="X540" i="5"/>
  <c r="Y417" i="5"/>
  <c r="X151" i="5"/>
  <c r="Y76" i="5"/>
  <c r="Y371" i="5"/>
  <c r="Y330" i="5"/>
  <c r="X388" i="5"/>
  <c r="Y252" i="5"/>
  <c r="X532" i="5"/>
  <c r="X27" i="5"/>
  <c r="Y54" i="5"/>
  <c r="X207" i="5"/>
  <c r="X449" i="5"/>
  <c r="Y545" i="5"/>
  <c r="Y380" i="5"/>
  <c r="X104" i="5"/>
  <c r="Y30" i="5"/>
  <c r="X306" i="5"/>
  <c r="Y241" i="5"/>
  <c r="X349" i="5"/>
  <c r="X406" i="5"/>
  <c r="Y70" i="5"/>
  <c r="W140" i="4"/>
  <c r="Y140" i="4" s="1"/>
  <c r="AM140" i="4"/>
  <c r="W105" i="4"/>
  <c r="AM105" i="4"/>
  <c r="AS58" i="4"/>
  <c r="AS149" i="4"/>
  <c r="AS157" i="4"/>
  <c r="AS77" i="4"/>
  <c r="V22" i="4"/>
  <c r="AM22" i="4" s="1"/>
  <c r="AN22" i="4" s="1"/>
  <c r="AS39" i="4"/>
  <c r="V109" i="4"/>
  <c r="AM109" i="4" s="1"/>
  <c r="AN109" i="4" s="1"/>
  <c r="X496" i="5"/>
  <c r="Y217" i="5"/>
  <c r="Y221" i="5"/>
  <c r="X333" i="5"/>
  <c r="Y242" i="5"/>
  <c r="Y220" i="5"/>
  <c r="X471" i="5"/>
  <c r="Y150" i="5"/>
  <c r="X140" i="5"/>
  <c r="U24" i="4"/>
  <c r="AH24" i="4" s="1"/>
  <c r="AL84" i="4"/>
  <c r="AS84" i="4"/>
  <c r="AL155" i="4"/>
  <c r="U155" i="4"/>
  <c r="AL118" i="4"/>
  <c r="AS118" i="4"/>
  <c r="Y122" i="5"/>
  <c r="X122" i="5"/>
  <c r="V83" i="4"/>
  <c r="V67" i="4"/>
  <c r="AM67" i="4" s="1"/>
  <c r="AN67" i="4" s="1"/>
  <c r="X328" i="5"/>
  <c r="R288" i="5"/>
  <c r="V39" i="4"/>
  <c r="AM39" i="4" s="1"/>
  <c r="AN39" i="4" s="1"/>
  <c r="AS109" i="4"/>
  <c r="Y467" i="5"/>
  <c r="Y439" i="5"/>
  <c r="Y188" i="5"/>
  <c r="Y236" i="5"/>
  <c r="Y356" i="5"/>
  <c r="Y268" i="5"/>
  <c r="Y159" i="5"/>
  <c r="X476" i="5"/>
  <c r="U109" i="4"/>
  <c r="AH109" i="4" s="1"/>
  <c r="AL10" i="4"/>
  <c r="V10" i="4"/>
  <c r="AL101" i="4"/>
  <c r="U101" i="4"/>
  <c r="AH101" i="4" s="1"/>
  <c r="V101" i="4"/>
  <c r="AL62" i="4"/>
  <c r="AS62" i="4"/>
  <c r="V62" i="4"/>
  <c r="AS96" i="4"/>
  <c r="AL157" i="4"/>
  <c r="U157" i="4"/>
  <c r="AH157" i="4" s="1"/>
  <c r="AL77" i="4"/>
  <c r="U77" i="4"/>
  <c r="AH77" i="4" s="1"/>
  <c r="U42" i="4"/>
  <c r="AH42" i="4" s="1"/>
  <c r="AS33" i="4"/>
  <c r="U67" i="4"/>
  <c r="AH67" i="4" s="1"/>
  <c r="V15" i="4"/>
  <c r="AM15" i="4" s="1"/>
  <c r="AN15" i="4" s="1"/>
  <c r="AS121" i="4"/>
  <c r="V43" i="4"/>
  <c r="W43" i="4" s="1"/>
  <c r="Y43" i="4" s="1"/>
  <c r="X24" i="5"/>
  <c r="X256" i="5"/>
  <c r="AS135" i="4"/>
  <c r="Y352" i="5"/>
  <c r="U39" i="4"/>
  <c r="AH39" i="4" s="1"/>
  <c r="X123" i="5"/>
  <c r="Y246" i="5"/>
  <c r="Y523" i="5"/>
  <c r="Y190" i="5"/>
  <c r="X34" i="5"/>
  <c r="Y544" i="5"/>
  <c r="Y513" i="5"/>
  <c r="X149" i="5"/>
  <c r="V58" i="4"/>
  <c r="U91" i="4"/>
  <c r="AH91" i="4" s="1"/>
  <c r="AS101" i="4"/>
  <c r="AS137" i="4"/>
  <c r="AS42" i="4"/>
  <c r="V33" i="4"/>
  <c r="W33" i="4" s="1"/>
  <c r="Y33" i="4" s="1"/>
  <c r="Z33" i="4" s="1"/>
  <c r="AS67" i="4"/>
  <c r="AS15" i="4"/>
  <c r="V121" i="4"/>
  <c r="W121" i="4" s="1"/>
  <c r="Y121" i="4" s="1"/>
  <c r="Z121" i="4" s="1"/>
  <c r="U43" i="4"/>
  <c r="AH43" i="4" s="1"/>
  <c r="U129" i="4"/>
  <c r="AH129" i="4" s="1"/>
  <c r="AM9" i="5"/>
  <c r="AN9" i="5" s="1"/>
  <c r="AH103" i="4"/>
  <c r="V135" i="4"/>
  <c r="AM135" i="4" s="1"/>
  <c r="AN135" i="4" s="1"/>
  <c r="X447" i="5"/>
  <c r="X19" i="5"/>
  <c r="Y407" i="5"/>
  <c r="Y251" i="5"/>
  <c r="Y157" i="5"/>
  <c r="Y80" i="5"/>
  <c r="Y143" i="5"/>
  <c r="AL132" i="4"/>
  <c r="V132" i="4"/>
  <c r="U132" i="4"/>
  <c r="AH132" i="4" s="1"/>
  <c r="AL130" i="4"/>
  <c r="V130" i="4"/>
  <c r="AL98" i="4"/>
  <c r="AS98" i="4"/>
  <c r="Y469" i="5"/>
  <c r="X560" i="5"/>
  <c r="U94" i="4"/>
  <c r="AH94" i="4" s="1"/>
  <c r="V94" i="4"/>
  <c r="AS94" i="4"/>
  <c r="AL94" i="4"/>
  <c r="V155" i="4"/>
  <c r="V24" i="4"/>
  <c r="V129" i="4"/>
  <c r="AM129" i="4" s="1"/>
  <c r="AN129" i="4" s="1"/>
  <c r="AS72" i="4"/>
  <c r="V152" i="4"/>
  <c r="AM152" i="4" s="1"/>
  <c r="AN152" i="4" s="1"/>
  <c r="V148" i="4"/>
  <c r="AM148" i="4" s="1"/>
  <c r="AN148" i="4" s="1"/>
  <c r="X316" i="5"/>
  <c r="Y141" i="5"/>
  <c r="Y67" i="5"/>
  <c r="X177" i="5"/>
  <c r="Y429" i="5"/>
  <c r="Y521" i="5"/>
  <c r="Y430" i="5"/>
  <c r="Y556" i="5"/>
  <c r="X71" i="5"/>
  <c r="X348" i="5"/>
  <c r="X124" i="5"/>
  <c r="AS59" i="4"/>
  <c r="AL59" i="4"/>
  <c r="V59" i="4"/>
  <c r="U59" i="4"/>
  <c r="AH59" i="4" s="1"/>
  <c r="AS79" i="4"/>
  <c r="AL79" i="4"/>
  <c r="U79" i="4"/>
  <c r="AH79" i="4" s="1"/>
  <c r="V79" i="4"/>
  <c r="AL141" i="4"/>
  <c r="V141" i="4"/>
  <c r="AS73" i="4"/>
  <c r="AL73" i="4"/>
  <c r="AN73" i="4" s="1"/>
  <c r="AL133" i="4"/>
  <c r="U133" i="4"/>
  <c r="AH133" i="4" s="1"/>
  <c r="V133" i="4"/>
  <c r="AS18" i="4"/>
  <c r="AS130" i="4"/>
  <c r="AM11" i="5"/>
  <c r="AO11" i="5" s="1"/>
  <c r="AH122" i="4"/>
  <c r="V56" i="4"/>
  <c r="W56" i="4" s="1"/>
  <c r="Y56" i="4" s="1"/>
  <c r="U149" i="4"/>
  <c r="AH149" i="4" s="1"/>
  <c r="AS56" i="4"/>
  <c r="V72" i="4"/>
  <c r="AM72" i="4" s="1"/>
  <c r="AN72" i="4" s="1"/>
  <c r="AS152" i="4"/>
  <c r="U148" i="4"/>
  <c r="AH148" i="4" s="1"/>
  <c r="U22" i="4"/>
  <c r="AH22" i="4" s="1"/>
  <c r="AH23" i="4"/>
  <c r="Y384" i="5"/>
  <c r="X340" i="5"/>
  <c r="X114" i="5"/>
  <c r="AL34" i="4"/>
  <c r="AS34" i="4"/>
  <c r="V34" i="4"/>
  <c r="U34" i="4"/>
  <c r="AH34" i="4" s="1"/>
  <c r="AL140" i="4"/>
  <c r="U140" i="4"/>
  <c r="AH140" i="4" s="1"/>
  <c r="AS140" i="4"/>
  <c r="AL143" i="4"/>
  <c r="AS143" i="4"/>
  <c r="AL105" i="4"/>
  <c r="AS105" i="4"/>
  <c r="U105" i="4"/>
  <c r="AL21" i="4"/>
  <c r="V21" i="4"/>
  <c r="U21" i="4"/>
  <c r="AH21" i="4" s="1"/>
  <c r="AS21" i="4"/>
  <c r="AS132" i="4"/>
  <c r="V144" i="4"/>
  <c r="Y8" i="5"/>
  <c r="X338" i="5"/>
  <c r="Y53" i="5"/>
  <c r="X420" i="5"/>
  <c r="X431" i="5"/>
  <c r="Y369" i="5"/>
  <c r="Y90" i="5"/>
  <c r="X548" i="5"/>
  <c r="X522" i="5"/>
  <c r="Y186" i="5"/>
  <c r="X468" i="5"/>
  <c r="X324" i="5"/>
  <c r="X226" i="5"/>
  <c r="X31" i="5"/>
  <c r="Y245" i="5"/>
  <c r="Y33" i="5"/>
  <c r="X195" i="5"/>
  <c r="X311" i="5"/>
  <c r="Y294" i="5"/>
  <c r="Y182" i="5"/>
  <c r="X25" i="5"/>
  <c r="Y494" i="5"/>
  <c r="Y443" i="5"/>
  <c r="X303" i="5"/>
  <c r="Y421" i="5"/>
  <c r="Y524" i="5"/>
  <c r="Y176" i="5"/>
  <c r="X44" i="5"/>
  <c r="Y418" i="5"/>
  <c r="X40" i="5"/>
  <c r="X91" i="5"/>
  <c r="X528" i="5"/>
  <c r="X368" i="5"/>
  <c r="X228" i="5"/>
  <c r="X127" i="5"/>
  <c r="Y127" i="5"/>
  <c r="X461" i="5"/>
  <c r="Y461" i="5"/>
  <c r="Y502" i="5"/>
  <c r="Y450" i="5"/>
  <c r="X309" i="5"/>
  <c r="X146" i="5"/>
  <c r="X166" i="5"/>
  <c r="Y109" i="5"/>
  <c r="Y230" i="5"/>
  <c r="X230" i="5"/>
  <c r="X171" i="5"/>
  <c r="Y171" i="5"/>
  <c r="Y113" i="5"/>
  <c r="X113" i="5"/>
  <c r="Y377" i="5"/>
  <c r="X377" i="5"/>
  <c r="Y193" i="5"/>
  <c r="X193" i="5"/>
  <c r="Y285" i="5"/>
  <c r="X285" i="5"/>
  <c r="X235" i="5"/>
  <c r="Y235" i="5"/>
  <c r="X94" i="5"/>
  <c r="Y370" i="5"/>
  <c r="X370" i="5"/>
  <c r="AH11" i="4"/>
  <c r="Y397" i="5"/>
  <c r="X111" i="5"/>
  <c r="X495" i="5"/>
  <c r="Y105" i="5"/>
  <c r="Y396" i="5"/>
  <c r="X367" i="5"/>
  <c r="X414" i="5"/>
  <c r="X462" i="5"/>
  <c r="Y209" i="5"/>
  <c r="X459" i="5"/>
  <c r="Y459" i="5"/>
  <c r="X307" i="5"/>
  <c r="Y307" i="5"/>
  <c r="Y527" i="5"/>
  <c r="AH15" i="4"/>
  <c r="AH53" i="4"/>
  <c r="X534" i="5"/>
  <c r="X227" i="5"/>
  <c r="Y116" i="5"/>
  <c r="Y250" i="5"/>
  <c r="Y107" i="5"/>
  <c r="Y162" i="5"/>
  <c r="X295" i="5"/>
  <c r="Y49" i="5"/>
  <c r="X49" i="5"/>
  <c r="X413" i="5"/>
  <c r="X398" i="5"/>
  <c r="Y419" i="5"/>
  <c r="Y558" i="5"/>
  <c r="Y452" i="5"/>
  <c r="X452" i="5"/>
  <c r="X147" i="5"/>
  <c r="Y147" i="5"/>
  <c r="X47" i="5"/>
  <c r="Y47" i="5"/>
  <c r="Y446" i="5"/>
  <c r="X292" i="5"/>
  <c r="Y336" i="5"/>
  <c r="Y41" i="5"/>
  <c r="X347" i="5"/>
  <c r="Y364" i="5"/>
  <c r="Y185" i="5"/>
  <c r="Y37" i="5"/>
  <c r="Y362" i="5"/>
  <c r="Y411" i="5"/>
  <c r="Y144" i="5"/>
  <c r="Y308" i="5"/>
  <c r="X224" i="5"/>
  <c r="Y337" i="5"/>
  <c r="X231" i="5"/>
  <c r="X335" i="5"/>
  <c r="Y297" i="5"/>
  <c r="Y87" i="5"/>
  <c r="Y547" i="5"/>
  <c r="X547" i="5"/>
  <c r="Y318" i="5"/>
  <c r="X322" i="5"/>
  <c r="Y134" i="5"/>
  <c r="Y163" i="5"/>
  <c r="Y539" i="5"/>
  <c r="Y379" i="5"/>
  <c r="Y225" i="5"/>
  <c r="X457" i="5"/>
  <c r="Y325" i="5"/>
  <c r="X325" i="5"/>
  <c r="X489" i="5"/>
  <c r="Y489" i="5"/>
  <c r="X205" i="5"/>
  <c r="Y205" i="5"/>
  <c r="AJ11" i="5"/>
  <c r="AK11" i="5" s="1"/>
  <c r="AM84" i="4"/>
  <c r="W84" i="4"/>
  <c r="X138" i="5"/>
  <c r="Y499" i="5"/>
  <c r="X499" i="5"/>
  <c r="Y514" i="5"/>
  <c r="X203" i="5"/>
  <c r="Y103" i="5"/>
  <c r="X103" i="5"/>
  <c r="Y404" i="5"/>
  <c r="X404" i="5"/>
  <c r="X345" i="5"/>
  <c r="Y345" i="5"/>
  <c r="W9" i="5"/>
  <c r="T9" i="5"/>
  <c r="AG9" i="5"/>
  <c r="Q9" i="5"/>
  <c r="X118" i="5"/>
  <c r="Y118" i="5"/>
  <c r="X374" i="5"/>
  <c r="Y374" i="5"/>
  <c r="Y315" i="5"/>
  <c r="X315" i="5"/>
  <c r="X516" i="5"/>
  <c r="P326" i="5"/>
  <c r="P32" i="5"/>
  <c r="P375" i="5"/>
  <c r="P445" i="5"/>
  <c r="P93" i="5"/>
  <c r="P342" i="5"/>
  <c r="P195" i="5"/>
  <c r="P279" i="5"/>
  <c r="P242" i="5"/>
  <c r="P465" i="5"/>
  <c r="P263" i="5"/>
  <c r="P210" i="5"/>
  <c r="P72" i="5"/>
  <c r="P454" i="5"/>
  <c r="P270" i="5"/>
  <c r="P475" i="5"/>
  <c r="P254" i="5"/>
  <c r="P98" i="5"/>
  <c r="P460" i="5"/>
  <c r="P492" i="5"/>
  <c r="P282" i="5"/>
  <c r="P172" i="5"/>
  <c r="P132" i="5"/>
  <c r="P413" i="5"/>
  <c r="P438" i="5"/>
  <c r="P336" i="5"/>
  <c r="P428" i="5"/>
  <c r="P115" i="5"/>
  <c r="P140" i="5"/>
  <c r="P154" i="5"/>
  <c r="P528" i="5"/>
  <c r="P322" i="5"/>
  <c r="P398" i="5"/>
  <c r="P327" i="5"/>
  <c r="P332" i="5"/>
  <c r="P53" i="5"/>
  <c r="P213" i="5"/>
  <c r="P409" i="5"/>
  <c r="P385" i="5"/>
  <c r="P557" i="5"/>
  <c r="P560" i="5"/>
  <c r="P27" i="5"/>
  <c r="P36" i="5"/>
  <c r="P504" i="5"/>
  <c r="P266" i="5"/>
  <c r="P264" i="5"/>
  <c r="P468" i="5"/>
  <c r="P11" i="5"/>
  <c r="P476" i="5"/>
  <c r="P436" i="5"/>
  <c r="P146" i="5"/>
  <c r="P548" i="5"/>
  <c r="P78" i="5"/>
  <c r="P352" i="5"/>
  <c r="P104" i="5"/>
  <c r="P404" i="5"/>
  <c r="P382" i="5"/>
  <c r="P239" i="5"/>
  <c r="P33" i="5"/>
  <c r="P479" i="5"/>
  <c r="P247" i="5"/>
  <c r="P477" i="5"/>
  <c r="P143" i="5"/>
  <c r="P505" i="5"/>
  <c r="P538" i="5"/>
  <c r="P376" i="5"/>
  <c r="P121" i="5"/>
  <c r="P109" i="5"/>
  <c r="P388" i="5"/>
  <c r="P131" i="5"/>
  <c r="P373" i="5"/>
  <c r="P116" i="5"/>
  <c r="P537" i="5"/>
  <c r="P514" i="5"/>
  <c r="P499" i="5"/>
  <c r="P311" i="5"/>
  <c r="P387" i="5"/>
  <c r="P170" i="5"/>
  <c r="P248" i="5"/>
  <c r="P318" i="5"/>
  <c r="P293" i="5"/>
  <c r="P464" i="5"/>
  <c r="P128" i="5"/>
  <c r="P35" i="5"/>
  <c r="P22" i="5"/>
  <c r="P364" i="5"/>
  <c r="P530" i="5"/>
  <c r="P296" i="5"/>
  <c r="P486" i="5"/>
  <c r="P230" i="5"/>
  <c r="P452" i="5"/>
  <c r="P295" i="5"/>
  <c r="P187" i="5"/>
  <c r="P163" i="5"/>
  <c r="P66" i="5"/>
  <c r="P356" i="5"/>
  <c r="P369" i="5"/>
  <c r="P312" i="5"/>
  <c r="P51" i="5"/>
  <c r="P467" i="5"/>
  <c r="P12" i="5"/>
  <c r="P134" i="5"/>
  <c r="P501" i="5"/>
  <c r="P315" i="5"/>
  <c r="P152" i="5"/>
  <c r="P106" i="5"/>
  <c r="P67" i="5"/>
  <c r="P240" i="5"/>
  <c r="P553" i="5"/>
  <c r="P357" i="5"/>
  <c r="P473" i="5"/>
  <c r="P105" i="5"/>
  <c r="P396" i="5"/>
  <c r="P215" i="5"/>
  <c r="P150" i="5"/>
  <c r="P194" i="5"/>
  <c r="P103" i="5"/>
  <c r="P304" i="5"/>
  <c r="P75" i="5"/>
  <c r="P201" i="5"/>
  <c r="P298" i="5"/>
  <c r="P457" i="5"/>
  <c r="P395" i="5"/>
  <c r="P427" i="5"/>
  <c r="P156" i="5"/>
  <c r="P56" i="5"/>
  <c r="P219" i="5"/>
  <c r="P258" i="5"/>
  <c r="P453" i="5"/>
  <c r="P419" i="5"/>
  <c r="P440" i="5"/>
  <c r="P372" i="5"/>
  <c r="P144" i="5"/>
  <c r="P439" i="5"/>
  <c r="P273" i="5"/>
  <c r="P392" i="5"/>
  <c r="P28" i="5"/>
  <c r="P435" i="5"/>
  <c r="P474" i="5"/>
  <c r="P490" i="5"/>
  <c r="P100" i="5"/>
  <c r="P168" i="5"/>
  <c r="P19" i="5"/>
  <c r="P360" i="5"/>
  <c r="P193" i="5"/>
  <c r="P160" i="5"/>
  <c r="P124" i="5"/>
  <c r="P229" i="5"/>
  <c r="P255" i="5"/>
  <c r="P299" i="5"/>
  <c r="P268" i="5"/>
  <c r="P54" i="5"/>
  <c r="P503" i="5"/>
  <c r="P207" i="5"/>
  <c r="P543" i="5"/>
  <c r="P149" i="5"/>
  <c r="P44" i="5"/>
  <c r="P80" i="5"/>
  <c r="P269" i="5"/>
  <c r="P158" i="5"/>
  <c r="P523" i="5"/>
  <c r="P233" i="5"/>
  <c r="P330" i="5"/>
  <c r="P378" i="5"/>
  <c r="P192" i="5"/>
  <c r="P246" i="5"/>
  <c r="P200" i="5"/>
  <c r="P287" i="5"/>
  <c r="P232" i="5"/>
  <c r="P88" i="5"/>
  <c r="P218" i="5"/>
  <c r="P259" i="5"/>
  <c r="P231" i="5"/>
  <c r="P161" i="5"/>
  <c r="P549" i="5"/>
  <c r="P175" i="5"/>
  <c r="P433" i="5"/>
  <c r="P281" i="5"/>
  <c r="P502" i="5"/>
  <c r="P24" i="5"/>
  <c r="P120" i="5"/>
  <c r="P506" i="5"/>
  <c r="P112" i="5"/>
  <c r="P97" i="5"/>
  <c r="P459" i="5"/>
  <c r="P173" i="5"/>
  <c r="P74" i="5"/>
  <c r="P493" i="5"/>
  <c r="P344" i="5"/>
  <c r="P186" i="5"/>
  <c r="P339" i="5"/>
  <c r="P346" i="5"/>
  <c r="P145" i="5"/>
  <c r="P226" i="5"/>
  <c r="P489" i="5"/>
  <c r="P261" i="5"/>
  <c r="P370" i="5"/>
  <c r="P283" i="5"/>
  <c r="P221" i="5"/>
  <c r="P46" i="5"/>
  <c r="P554" i="5"/>
  <c r="P177" i="5"/>
  <c r="P516" i="5"/>
  <c r="P358" i="5"/>
  <c r="P447" i="5"/>
  <c r="P204" i="5"/>
  <c r="P275" i="5"/>
  <c r="P434" i="5"/>
  <c r="P211" i="5"/>
  <c r="P85" i="5"/>
  <c r="P38" i="5"/>
  <c r="P350" i="5"/>
  <c r="P71" i="5"/>
  <c r="P485" i="5"/>
  <c r="P271" i="5"/>
  <c r="P43" i="5"/>
  <c r="P250" i="5"/>
  <c r="P559" i="5"/>
  <c r="P73" i="5"/>
  <c r="P347" i="5"/>
  <c r="P49" i="5"/>
  <c r="P472" i="5"/>
  <c r="P48" i="5"/>
  <c r="P110" i="5"/>
  <c r="P442" i="5"/>
  <c r="P420" i="5"/>
  <c r="P400" i="5"/>
  <c r="P397" i="5"/>
  <c r="P34" i="5"/>
  <c r="P203" i="5"/>
  <c r="P519" i="5"/>
  <c r="P123" i="5"/>
  <c r="P113" i="5"/>
  <c r="P305" i="5"/>
  <c r="P243" i="5"/>
  <c r="P47" i="5"/>
  <c r="P386" i="5"/>
  <c r="P313" i="5"/>
  <c r="P424" i="5"/>
  <c r="P328" i="5"/>
  <c r="P402" i="5"/>
  <c r="P294" i="5"/>
  <c r="P343" i="5"/>
  <c r="P359" i="5"/>
  <c r="P61" i="5"/>
  <c r="P354" i="5"/>
  <c r="P544" i="5"/>
  <c r="P345" i="5"/>
  <c r="P63" i="5"/>
  <c r="P135" i="5"/>
  <c r="P362" i="5"/>
  <c r="P165" i="5"/>
  <c r="P507" i="5"/>
  <c r="P338" i="5"/>
  <c r="P518" i="5"/>
  <c r="P421" i="5"/>
  <c r="P69" i="5"/>
  <c r="P183" i="5"/>
  <c r="P290" i="5"/>
  <c r="P510" i="5"/>
  <c r="P300" i="5"/>
  <c r="P189" i="5"/>
  <c r="P23" i="5"/>
  <c r="P462" i="5"/>
  <c r="P59" i="5"/>
  <c r="P450" i="5"/>
  <c r="P306" i="5"/>
  <c r="P374" i="5"/>
  <c r="P353" i="5"/>
  <c r="P535" i="5"/>
  <c r="P235" i="5"/>
  <c r="P301" i="5"/>
  <c r="P209" i="5"/>
  <c r="P390" i="5"/>
  <c r="P65" i="5"/>
  <c r="P317" i="5"/>
  <c r="P81" i="5"/>
  <c r="P237" i="5"/>
  <c r="P202" i="5"/>
  <c r="P176" i="5"/>
  <c r="P236" i="5"/>
  <c r="P188" i="5"/>
  <c r="P451" i="5"/>
  <c r="P411" i="5"/>
  <c r="P122" i="5"/>
  <c r="P547" i="5"/>
  <c r="P83" i="5"/>
  <c r="P274" i="5"/>
  <c r="P129" i="5"/>
  <c r="P111" i="5"/>
  <c r="P491" i="5"/>
  <c r="P166" i="5"/>
  <c r="P288" i="5"/>
  <c r="P214" i="5"/>
  <c r="P449" i="5"/>
  <c r="P363" i="5"/>
  <c r="P77" i="5"/>
  <c r="P171" i="5"/>
  <c r="P216" i="5"/>
  <c r="P431" i="5"/>
  <c r="P119" i="5"/>
  <c r="P245" i="5"/>
  <c r="P463" i="5"/>
  <c r="P222" i="5"/>
  <c r="P118" i="5"/>
  <c r="P552" i="5"/>
  <c r="P205" i="5"/>
  <c r="P401" i="5"/>
  <c r="P280" i="5"/>
  <c r="P522" i="5"/>
  <c r="P422" i="5"/>
  <c r="P84" i="5"/>
  <c r="P94" i="5"/>
  <c r="P368" i="5"/>
  <c r="P456" i="5"/>
  <c r="P86" i="5"/>
  <c r="P414" i="5"/>
  <c r="P515" i="5"/>
  <c r="P162" i="5"/>
  <c r="P92" i="5"/>
  <c r="P484" i="5"/>
  <c r="P31" i="5"/>
  <c r="P334" i="5"/>
  <c r="P52" i="5"/>
  <c r="P406" i="5"/>
  <c r="P249" i="5"/>
  <c r="P126" i="5"/>
  <c r="P418" i="5"/>
  <c r="P212" i="5"/>
  <c r="P366" i="5"/>
  <c r="P417" i="5"/>
  <c r="P539" i="5"/>
  <c r="P365" i="5"/>
  <c r="P335" i="5"/>
  <c r="P348" i="5"/>
  <c r="P310" i="5"/>
  <c r="P542" i="5"/>
  <c r="P532" i="5"/>
  <c r="P470" i="5"/>
  <c r="P130" i="5"/>
  <c r="P89" i="5"/>
  <c r="P276" i="5"/>
  <c r="P471" i="5"/>
  <c r="P399" i="5"/>
  <c r="P29" i="5"/>
  <c r="P244" i="5"/>
  <c r="P410" i="5"/>
  <c r="P153" i="5"/>
  <c r="P308" i="5"/>
  <c r="P540" i="5"/>
  <c r="P147" i="5"/>
  <c r="P164" i="5"/>
  <c r="P408" i="5"/>
  <c r="P319" i="5"/>
  <c r="P511" i="5"/>
  <c r="P320" i="5"/>
  <c r="P443" i="5"/>
  <c r="P289" i="5"/>
  <c r="P50" i="5"/>
  <c r="P151" i="5"/>
  <c r="P291" i="5"/>
  <c r="P480" i="5"/>
  <c r="P37" i="5"/>
  <c r="P531" i="5"/>
  <c r="P534" i="5"/>
  <c r="P225" i="5"/>
  <c r="P136" i="5"/>
  <c r="P526" i="5"/>
  <c r="P224" i="5"/>
  <c r="P333" i="5"/>
  <c r="P340" i="5"/>
  <c r="P556" i="5"/>
  <c r="P430" i="5"/>
  <c r="P96" i="5"/>
  <c r="P139" i="5"/>
  <c r="P384" i="5"/>
  <c r="P496" i="5"/>
  <c r="P91" i="5"/>
  <c r="P355" i="5"/>
  <c r="P558" i="5"/>
  <c r="P208" i="5"/>
  <c r="P142" i="5"/>
  <c r="P533" i="5"/>
  <c r="P181" i="5"/>
  <c r="P377" i="5"/>
  <c r="P198" i="5"/>
  <c r="P498" i="5"/>
  <c r="P278" i="5"/>
  <c r="P10" i="5"/>
  <c r="P114" i="5"/>
  <c r="P323" i="5"/>
  <c r="P525" i="5"/>
  <c r="P513" i="5"/>
  <c r="P512" i="5"/>
  <c r="P367" i="5"/>
  <c r="P90" i="5"/>
  <c r="P196" i="5"/>
  <c r="P316" i="5"/>
  <c r="P536" i="5"/>
  <c r="P148" i="5"/>
  <c r="P551" i="5"/>
  <c r="P546" i="5"/>
  <c r="P455" i="5"/>
  <c r="P79" i="5"/>
  <c r="P541" i="5"/>
  <c r="P241" i="5"/>
  <c r="P314" i="5"/>
  <c r="P285" i="5"/>
  <c r="P500" i="5"/>
  <c r="P302" i="5"/>
  <c r="P39" i="5"/>
  <c r="P101" i="5"/>
  <c r="P303" i="5"/>
  <c r="P371" i="5"/>
  <c r="P62" i="5"/>
  <c r="P307" i="5"/>
  <c r="P68" i="5"/>
  <c r="P169" i="5"/>
  <c r="P416" i="5"/>
  <c r="P412" i="5"/>
  <c r="P41" i="5"/>
  <c r="P555" i="5"/>
  <c r="P127" i="5"/>
  <c r="P379" i="5"/>
  <c r="P117" i="5"/>
  <c r="P297" i="5"/>
  <c r="P260" i="5"/>
  <c r="P8" i="5"/>
  <c r="P108" i="5"/>
  <c r="P337" i="5"/>
  <c r="P481" i="5"/>
  <c r="P448" i="5"/>
  <c r="P125" i="5"/>
  <c r="P425" i="5"/>
  <c r="P178" i="5"/>
  <c r="P157" i="5"/>
  <c r="P466" i="5"/>
  <c r="P137" i="5"/>
  <c r="P426" i="5"/>
  <c r="P228" i="5"/>
  <c r="P380" i="5"/>
  <c r="P361" i="5"/>
  <c r="P42" i="5"/>
  <c r="P159" i="5"/>
  <c r="P383" i="5"/>
  <c r="P461" i="5"/>
  <c r="P441" i="5"/>
  <c r="P517" i="5"/>
  <c r="P381" i="5"/>
  <c r="P190" i="5"/>
  <c r="P107" i="5"/>
  <c r="P509" i="5"/>
  <c r="P99" i="5"/>
  <c r="P238" i="5"/>
  <c r="P95" i="5"/>
  <c r="P284" i="5"/>
  <c r="P253" i="5"/>
  <c r="P217" i="5"/>
  <c r="P21" i="5"/>
  <c r="P286" i="5"/>
  <c r="P437" i="5"/>
  <c r="P469" i="5"/>
  <c r="P394" i="5"/>
  <c r="P251" i="5"/>
  <c r="P60" i="5"/>
  <c r="P155" i="5"/>
  <c r="P331" i="5"/>
  <c r="P521" i="5"/>
  <c r="P58" i="5"/>
  <c r="P446" i="5"/>
  <c r="P432" i="5"/>
  <c r="P483" i="5"/>
  <c r="P351" i="5"/>
  <c r="P527" i="5"/>
  <c r="P257" i="5"/>
  <c r="P197" i="5"/>
  <c r="P482" i="5"/>
  <c r="P444" i="5"/>
  <c r="P429" i="5"/>
  <c r="P234" i="5"/>
  <c r="P184" i="5"/>
  <c r="P141" i="5"/>
  <c r="P277" i="5"/>
  <c r="P341" i="5"/>
  <c r="P87" i="5"/>
  <c r="P185" i="5"/>
  <c r="P64" i="5"/>
  <c r="P70" i="5"/>
  <c r="P550" i="5"/>
  <c r="P138" i="5"/>
  <c r="P191" i="5"/>
  <c r="P30" i="5"/>
  <c r="P524" i="5"/>
  <c r="P13" i="5"/>
  <c r="P494" i="5"/>
  <c r="P223" i="5"/>
  <c r="P252" i="5"/>
  <c r="P57" i="5"/>
  <c r="P262" i="5"/>
  <c r="P520" i="5"/>
  <c r="P403" i="5"/>
  <c r="P423" i="5"/>
  <c r="P206" i="5"/>
  <c r="P133" i="5"/>
  <c r="P76" i="5"/>
  <c r="P407" i="5"/>
  <c r="P26" i="5"/>
  <c r="P324" i="5"/>
  <c r="P220" i="5"/>
  <c r="P292" i="5"/>
  <c r="P309" i="5"/>
  <c r="P40" i="5"/>
  <c r="P82" i="5"/>
  <c r="P329" i="5"/>
  <c r="P497" i="5"/>
  <c r="P389" i="5"/>
  <c r="P349" i="5"/>
  <c r="P265" i="5"/>
  <c r="P179" i="5"/>
  <c r="P45" i="5"/>
  <c r="P488" i="5"/>
  <c r="P180" i="5"/>
  <c r="P321" i="5"/>
  <c r="P415" i="5"/>
  <c r="P267" i="5"/>
  <c r="P174" i="5"/>
  <c r="P167" i="5"/>
  <c r="P20" i="5"/>
  <c r="P227" i="5"/>
  <c r="P393" i="5"/>
  <c r="P256" i="5"/>
  <c r="P529" i="5"/>
  <c r="P272" i="5"/>
  <c r="P9" i="5"/>
  <c r="P102" i="5"/>
  <c r="P199" i="5"/>
  <c r="P508" i="5"/>
  <c r="P478" i="5"/>
  <c r="P25" i="5"/>
  <c r="P325" i="5"/>
  <c r="P545" i="5"/>
  <c r="P458" i="5"/>
  <c r="P495" i="5"/>
  <c r="P182" i="5"/>
  <c r="P55" i="5"/>
  <c r="P391" i="5"/>
  <c r="P405" i="5"/>
  <c r="S474" i="5"/>
  <c r="R474" i="5"/>
  <c r="R548" i="5"/>
  <c r="S548" i="5"/>
  <c r="R525" i="5"/>
  <c r="S525" i="5"/>
  <c r="S36" i="5"/>
  <c r="R36" i="5"/>
  <c r="R134" i="5"/>
  <c r="S134" i="5"/>
  <c r="R397" i="5"/>
  <c r="S397" i="5"/>
  <c r="S501" i="5"/>
  <c r="R501" i="5"/>
  <c r="R394" i="5"/>
  <c r="S394" i="5"/>
  <c r="R157" i="5"/>
  <c r="S157" i="5"/>
  <c r="R194" i="5"/>
  <c r="S194" i="5"/>
  <c r="S270" i="5"/>
  <c r="R270" i="5"/>
  <c r="R286" i="5"/>
  <c r="S286" i="5"/>
  <c r="R214" i="5"/>
  <c r="S214" i="5"/>
  <c r="R241" i="5"/>
  <c r="S241" i="5"/>
  <c r="R190" i="5"/>
  <c r="S190" i="5"/>
  <c r="S132" i="5"/>
  <c r="R132" i="5"/>
  <c r="R162" i="5"/>
  <c r="S162" i="5"/>
  <c r="S530" i="5"/>
  <c r="R530" i="5"/>
  <c r="S483" i="5"/>
  <c r="R483" i="5"/>
  <c r="R282" i="5"/>
  <c r="S282" i="5"/>
  <c r="S211" i="5"/>
  <c r="R211" i="5"/>
  <c r="R171" i="5"/>
  <c r="S171" i="5"/>
  <c r="R121" i="5"/>
  <c r="S121" i="5"/>
  <c r="R61" i="5"/>
  <c r="S61" i="5"/>
  <c r="S522" i="5"/>
  <c r="R522" i="5"/>
  <c r="S477" i="5"/>
  <c r="R477" i="5"/>
  <c r="R370" i="5"/>
  <c r="S370" i="5"/>
  <c r="S257" i="5"/>
  <c r="R257" i="5"/>
  <c r="R313" i="5"/>
  <c r="S313" i="5"/>
  <c r="R164" i="5"/>
  <c r="S164" i="5"/>
  <c r="S89" i="5"/>
  <c r="R89" i="5"/>
  <c r="S42" i="5"/>
  <c r="R42" i="5"/>
  <c r="S518" i="5"/>
  <c r="R518" i="5"/>
  <c r="R473" i="5"/>
  <c r="S473" i="5"/>
  <c r="R249" i="5"/>
  <c r="S249" i="5"/>
  <c r="S141" i="5"/>
  <c r="R141" i="5"/>
  <c r="R233" i="5"/>
  <c r="S233" i="5"/>
  <c r="S105" i="5"/>
  <c r="R105" i="5"/>
  <c r="R63" i="5"/>
  <c r="S63" i="5"/>
  <c r="S443" i="5"/>
  <c r="R443" i="5"/>
  <c r="R467" i="5"/>
  <c r="S467" i="5"/>
  <c r="R351" i="5"/>
  <c r="S351" i="5"/>
  <c r="S350" i="5"/>
  <c r="R350" i="5"/>
  <c r="S299" i="5"/>
  <c r="R299" i="5"/>
  <c r="R183" i="5"/>
  <c r="S183" i="5"/>
  <c r="S103" i="5"/>
  <c r="R103" i="5"/>
  <c r="S26" i="5"/>
  <c r="R26" i="5"/>
  <c r="S502" i="5"/>
  <c r="R502" i="5"/>
  <c r="S468" i="5"/>
  <c r="R468" i="5"/>
  <c r="S442" i="5"/>
  <c r="R442" i="5"/>
  <c r="S326" i="5"/>
  <c r="R326" i="5"/>
  <c r="S228" i="5"/>
  <c r="R228" i="5"/>
  <c r="R83" i="5"/>
  <c r="S83" i="5"/>
  <c r="R58" i="5"/>
  <c r="S58" i="5"/>
  <c r="R364" i="5"/>
  <c r="S364" i="5"/>
  <c r="R452" i="5"/>
  <c r="S452" i="5"/>
  <c r="R338" i="5"/>
  <c r="S338" i="5"/>
  <c r="S346" i="5"/>
  <c r="R346" i="5"/>
  <c r="S291" i="5"/>
  <c r="R291" i="5"/>
  <c r="S179" i="5"/>
  <c r="R179" i="5"/>
  <c r="R82" i="5"/>
  <c r="S82" i="5"/>
  <c r="S516" i="5"/>
  <c r="R516" i="5"/>
  <c r="S444" i="5"/>
  <c r="R444" i="5"/>
  <c r="S387" i="5"/>
  <c r="R387" i="5"/>
  <c r="S407" i="5"/>
  <c r="R407" i="5"/>
  <c r="R285" i="5"/>
  <c r="S285" i="5"/>
  <c r="R107" i="5"/>
  <c r="S107" i="5"/>
  <c r="R100" i="5"/>
  <c r="S100" i="5"/>
  <c r="S50" i="5"/>
  <c r="R50" i="5"/>
  <c r="S383" i="5"/>
  <c r="R383" i="5"/>
  <c r="S521" i="5"/>
  <c r="R521" i="5"/>
  <c r="S495" i="5"/>
  <c r="R495" i="5"/>
  <c r="R542" i="5"/>
  <c r="S542" i="5"/>
  <c r="R459" i="5"/>
  <c r="S459" i="5"/>
  <c r="S119" i="5"/>
  <c r="R119" i="5"/>
  <c r="R205" i="5"/>
  <c r="S205" i="5"/>
  <c r="R325" i="5"/>
  <c r="S325" i="5"/>
  <c r="S310" i="5"/>
  <c r="R310" i="5"/>
  <c r="S303" i="5"/>
  <c r="R303" i="5"/>
  <c r="S66" i="5"/>
  <c r="R66" i="5"/>
  <c r="S244" i="5"/>
  <c r="R244" i="5"/>
  <c r="R139" i="5"/>
  <c r="S139" i="5"/>
  <c r="S158" i="5"/>
  <c r="R158" i="5"/>
  <c r="R131" i="5"/>
  <c r="S131" i="5"/>
  <c r="R109" i="5"/>
  <c r="S109" i="5"/>
  <c r="R93" i="5"/>
  <c r="S93" i="5"/>
  <c r="R484" i="5"/>
  <c r="S484" i="5"/>
  <c r="S461" i="5"/>
  <c r="R461" i="5"/>
  <c r="S438" i="5"/>
  <c r="R438" i="5"/>
  <c r="S307" i="5"/>
  <c r="R307" i="5"/>
  <c r="R219" i="5"/>
  <c r="S219" i="5"/>
  <c r="R149" i="5"/>
  <c r="S149" i="5"/>
  <c r="R38" i="5"/>
  <c r="S38" i="5"/>
  <c r="R552" i="5"/>
  <c r="S552" i="5"/>
  <c r="S435" i="5"/>
  <c r="R435" i="5"/>
  <c r="R263" i="5"/>
  <c r="S263" i="5"/>
  <c r="R329" i="5"/>
  <c r="S329" i="5"/>
  <c r="R269" i="5"/>
  <c r="S269" i="5"/>
  <c r="S166" i="5"/>
  <c r="R166" i="5"/>
  <c r="S110" i="5"/>
  <c r="R110" i="5"/>
  <c r="S19" i="5"/>
  <c r="R19" i="5"/>
  <c r="R465" i="5"/>
  <c r="S465" i="5"/>
  <c r="R453" i="5"/>
  <c r="S453" i="5"/>
  <c r="S423" i="5"/>
  <c r="R423" i="5"/>
  <c r="R300" i="5"/>
  <c r="S300" i="5"/>
  <c r="R191" i="5"/>
  <c r="S191" i="5"/>
  <c r="R140" i="5"/>
  <c r="S140" i="5"/>
  <c r="R59" i="5"/>
  <c r="S59" i="5"/>
  <c r="R532" i="5"/>
  <c r="S532" i="5"/>
  <c r="R422" i="5"/>
  <c r="S422" i="5"/>
  <c r="S414" i="5"/>
  <c r="R414" i="5"/>
  <c r="S317" i="5"/>
  <c r="R317" i="5"/>
  <c r="R246" i="5"/>
  <c r="S246" i="5"/>
  <c r="R145" i="5"/>
  <c r="S145" i="5"/>
  <c r="R87" i="5"/>
  <c r="S87" i="5"/>
  <c r="S539" i="5"/>
  <c r="R539" i="5"/>
  <c r="S449" i="5"/>
  <c r="R449" i="5"/>
  <c r="R393" i="5"/>
  <c r="S393" i="5"/>
  <c r="S411" i="5"/>
  <c r="R411" i="5"/>
  <c r="R293" i="5"/>
  <c r="S293" i="5"/>
  <c r="S186" i="5"/>
  <c r="R186" i="5"/>
  <c r="R125" i="5"/>
  <c r="S125" i="5"/>
  <c r="S27" i="5"/>
  <c r="R27" i="5"/>
  <c r="R508" i="5"/>
  <c r="S508" i="5"/>
  <c r="R410" i="5"/>
  <c r="S410" i="5"/>
  <c r="R404" i="5"/>
  <c r="S404" i="5"/>
  <c r="S309" i="5"/>
  <c r="R309" i="5"/>
  <c r="R213" i="5"/>
  <c r="S213" i="5"/>
  <c r="S188" i="5"/>
  <c r="R188" i="5"/>
  <c r="S95" i="5"/>
  <c r="R95" i="5"/>
  <c r="R544" i="5"/>
  <c r="S544" i="5"/>
  <c r="S510" i="5"/>
  <c r="R510" i="5"/>
  <c r="S412" i="5"/>
  <c r="R412" i="5"/>
  <c r="R372" i="5"/>
  <c r="S372" i="5"/>
  <c r="S229" i="5"/>
  <c r="R229" i="5"/>
  <c r="R199" i="5"/>
  <c r="S199" i="5"/>
  <c r="R137" i="5"/>
  <c r="S137" i="5"/>
  <c r="S25" i="5"/>
  <c r="R25" i="5"/>
  <c r="R262" i="5"/>
  <c r="S262" i="5"/>
  <c r="R267" i="5"/>
  <c r="S267" i="5"/>
  <c r="S405" i="5"/>
  <c r="R405" i="5"/>
  <c r="R511" i="5"/>
  <c r="S511" i="5"/>
  <c r="R490" i="5"/>
  <c r="S490" i="5"/>
  <c r="R537" i="5"/>
  <c r="S537" i="5"/>
  <c r="S65" i="5"/>
  <c r="R65" i="5"/>
  <c r="R49" i="5"/>
  <c r="S49" i="5"/>
  <c r="R54" i="5"/>
  <c r="S54" i="5"/>
  <c r="R528" i="5"/>
  <c r="S528" i="5"/>
  <c r="R428" i="5"/>
  <c r="S428" i="5"/>
  <c r="S122" i="5"/>
  <c r="R122" i="5"/>
  <c r="R78" i="5"/>
  <c r="S78" i="5"/>
  <c r="S37" i="5"/>
  <c r="R37" i="5"/>
  <c r="S34" i="5"/>
  <c r="R34" i="5"/>
  <c r="R39" i="5"/>
  <c r="S39" i="5"/>
  <c r="S505" i="5"/>
  <c r="R505" i="5"/>
  <c r="S437" i="5"/>
  <c r="R437" i="5"/>
  <c r="S381" i="5"/>
  <c r="R381" i="5"/>
  <c r="R396" i="5"/>
  <c r="S396" i="5"/>
  <c r="R281" i="5"/>
  <c r="S281" i="5"/>
  <c r="R251" i="5"/>
  <c r="S251" i="5"/>
  <c r="S98" i="5"/>
  <c r="R98" i="5"/>
  <c r="R46" i="5"/>
  <c r="S46" i="5"/>
  <c r="S481" i="5"/>
  <c r="R481" i="5"/>
  <c r="R337" i="5"/>
  <c r="S337" i="5"/>
  <c r="R388" i="5"/>
  <c r="S388" i="5"/>
  <c r="R287" i="5"/>
  <c r="S287" i="5"/>
  <c r="S101" i="5"/>
  <c r="R101" i="5"/>
  <c r="S163" i="5"/>
  <c r="R163" i="5"/>
  <c r="R91" i="5"/>
  <c r="S91" i="5"/>
  <c r="R429" i="5"/>
  <c r="S429" i="5"/>
  <c r="S342" i="5"/>
  <c r="R342" i="5"/>
  <c r="S359" i="5"/>
  <c r="R359" i="5"/>
  <c r="S386" i="5"/>
  <c r="R386" i="5"/>
  <c r="S259" i="5"/>
  <c r="R259" i="5"/>
  <c r="S238" i="5"/>
  <c r="R238" i="5"/>
  <c r="R154" i="5"/>
  <c r="S154" i="5"/>
  <c r="S35" i="5"/>
  <c r="R35" i="5"/>
  <c r="S447" i="5"/>
  <c r="R447" i="5"/>
  <c r="S252" i="5"/>
  <c r="R252" i="5"/>
  <c r="S379" i="5"/>
  <c r="R379" i="5"/>
  <c r="R278" i="5"/>
  <c r="S278" i="5"/>
  <c r="S237" i="5"/>
  <c r="R237" i="5"/>
  <c r="S92" i="5"/>
  <c r="R92" i="5"/>
  <c r="S77" i="5"/>
  <c r="R77" i="5"/>
  <c r="R403" i="5"/>
  <c r="S403" i="5"/>
  <c r="S520" i="5"/>
  <c r="R520" i="5"/>
  <c r="S421" i="5"/>
  <c r="R421" i="5"/>
  <c r="R380" i="5"/>
  <c r="S380" i="5"/>
  <c r="S253" i="5"/>
  <c r="R253" i="5"/>
  <c r="S235" i="5"/>
  <c r="R235" i="5"/>
  <c r="S151" i="5"/>
  <c r="R151" i="5"/>
  <c r="S30" i="5"/>
  <c r="R30" i="5"/>
  <c r="R559" i="5"/>
  <c r="S559" i="5"/>
  <c r="R524" i="5"/>
  <c r="S524" i="5"/>
  <c r="R365" i="5"/>
  <c r="S365" i="5"/>
  <c r="S275" i="5"/>
  <c r="R275" i="5"/>
  <c r="S231" i="5"/>
  <c r="R231" i="5"/>
  <c r="R155" i="5"/>
  <c r="S155" i="5"/>
  <c r="S71" i="5"/>
  <c r="R71" i="5"/>
  <c r="R558" i="5"/>
  <c r="S558" i="5"/>
  <c r="S486" i="5"/>
  <c r="R486" i="5"/>
  <c r="R377" i="5"/>
  <c r="S377" i="5"/>
  <c r="S289" i="5"/>
  <c r="R289" i="5"/>
  <c r="S323" i="5"/>
  <c r="R323" i="5"/>
  <c r="S178" i="5"/>
  <c r="R178" i="5"/>
  <c r="S108" i="5"/>
  <c r="R108" i="5"/>
  <c r="S47" i="5"/>
  <c r="R47" i="5"/>
  <c r="S212" i="5"/>
  <c r="R212" i="5"/>
  <c r="R148" i="5"/>
  <c r="S148" i="5"/>
  <c r="S193" i="5"/>
  <c r="R193" i="5"/>
  <c r="S260" i="5"/>
  <c r="R260" i="5"/>
  <c r="R22" i="5"/>
  <c r="S22" i="5"/>
  <c r="R560" i="5"/>
  <c r="S560" i="5"/>
  <c r="S182" i="5"/>
  <c r="R182" i="5"/>
  <c r="S462" i="5"/>
  <c r="R462" i="5"/>
  <c r="R97" i="5"/>
  <c r="S97" i="5"/>
  <c r="R62" i="5"/>
  <c r="S62" i="5"/>
  <c r="S84" i="5"/>
  <c r="R84" i="5"/>
  <c r="S458" i="5"/>
  <c r="R458" i="5"/>
  <c r="R513" i="5"/>
  <c r="S513" i="5"/>
  <c r="R507" i="5"/>
  <c r="S507" i="5"/>
  <c r="S551" i="5"/>
  <c r="R551" i="5"/>
  <c r="S533" i="5"/>
  <c r="R533" i="5"/>
  <c r="R506" i="5"/>
  <c r="S506" i="5"/>
  <c r="R406" i="5"/>
  <c r="S406" i="5"/>
  <c r="S371" i="5"/>
  <c r="R371" i="5"/>
  <c r="R218" i="5"/>
  <c r="S218" i="5"/>
  <c r="R198" i="5"/>
  <c r="S198" i="5"/>
  <c r="S135" i="5"/>
  <c r="R135" i="5"/>
  <c r="R43" i="5"/>
  <c r="S43" i="5"/>
  <c r="S545" i="5"/>
  <c r="R545" i="5"/>
  <c r="S519" i="5"/>
  <c r="R519" i="5"/>
  <c r="S354" i="5"/>
  <c r="R354" i="5"/>
  <c r="S265" i="5"/>
  <c r="R265" i="5"/>
  <c r="S217" i="5"/>
  <c r="R217" i="5"/>
  <c r="R147" i="5"/>
  <c r="S147" i="5"/>
  <c r="S81" i="5"/>
  <c r="R81" i="5"/>
  <c r="R466" i="5"/>
  <c r="S466" i="5"/>
  <c r="S492" i="5"/>
  <c r="R492" i="5"/>
  <c r="S398" i="5"/>
  <c r="R398" i="5"/>
  <c r="S334" i="5"/>
  <c r="R334" i="5"/>
  <c r="R196" i="5"/>
  <c r="S196" i="5"/>
  <c r="R181" i="5"/>
  <c r="S181" i="5"/>
  <c r="S123" i="5"/>
  <c r="R123" i="5"/>
  <c r="R23" i="5"/>
  <c r="S23" i="5"/>
  <c r="S541" i="5"/>
  <c r="R541" i="5"/>
  <c r="S503" i="5"/>
  <c r="R503" i="5"/>
  <c r="R343" i="5"/>
  <c r="S343" i="5"/>
  <c r="R243" i="5"/>
  <c r="S243" i="5"/>
  <c r="S206" i="5"/>
  <c r="R206" i="5"/>
  <c r="R129" i="5"/>
  <c r="S129" i="5"/>
  <c r="S70" i="5"/>
  <c r="R70" i="5"/>
  <c r="S557" i="5"/>
  <c r="R557" i="5"/>
  <c r="S489" i="5"/>
  <c r="R489" i="5"/>
  <c r="S395" i="5"/>
  <c r="R395" i="5"/>
  <c r="R306" i="5"/>
  <c r="S306" i="5"/>
  <c r="S331" i="5"/>
  <c r="R331" i="5"/>
  <c r="R202" i="5"/>
  <c r="S202" i="5"/>
  <c r="R117" i="5"/>
  <c r="S117" i="5"/>
  <c r="R20" i="5"/>
  <c r="S20" i="5"/>
  <c r="R536" i="5"/>
  <c r="S536" i="5"/>
  <c r="R500" i="5"/>
  <c r="S500" i="5"/>
  <c r="S314" i="5"/>
  <c r="R314" i="5"/>
  <c r="R223" i="5"/>
  <c r="S223" i="5"/>
  <c r="S204" i="5"/>
  <c r="R204" i="5"/>
  <c r="S126" i="5"/>
  <c r="R126" i="5"/>
  <c r="S69" i="5"/>
  <c r="R69" i="5"/>
  <c r="S550" i="5"/>
  <c r="R550" i="5"/>
  <c r="S446" i="5"/>
  <c r="R446" i="5"/>
  <c r="S327" i="5"/>
  <c r="R327" i="5"/>
  <c r="R341" i="5"/>
  <c r="S341" i="5"/>
  <c r="R284" i="5"/>
  <c r="S284" i="5"/>
  <c r="R175" i="5"/>
  <c r="S175" i="5"/>
  <c r="S44" i="5"/>
  <c r="R44" i="5"/>
  <c r="R311" i="5"/>
  <c r="S311" i="5"/>
  <c r="S222" i="5"/>
  <c r="R222" i="5"/>
  <c r="S215" i="5"/>
  <c r="R215" i="5"/>
  <c r="R209" i="5"/>
  <c r="S209" i="5"/>
  <c r="S333" i="5"/>
  <c r="R333" i="5"/>
  <c r="S127" i="5"/>
  <c r="R127" i="5"/>
  <c r="R116" i="5"/>
  <c r="S116" i="5"/>
  <c r="S439" i="5"/>
  <c r="R439" i="5"/>
  <c r="S113" i="5"/>
  <c r="R113" i="5"/>
  <c r="R167" i="5"/>
  <c r="S167" i="5"/>
  <c r="S543" i="5"/>
  <c r="R543" i="5"/>
  <c r="S362" i="5"/>
  <c r="R362" i="5"/>
  <c r="S493" i="5"/>
  <c r="R493" i="5"/>
  <c r="S470" i="5"/>
  <c r="R470" i="5"/>
  <c r="R434" i="5"/>
  <c r="S434" i="5"/>
  <c r="R549" i="5"/>
  <c r="S549" i="5"/>
  <c r="R482" i="5"/>
  <c r="S482" i="5"/>
  <c r="R374" i="5"/>
  <c r="S374" i="5"/>
  <c r="S273" i="5"/>
  <c r="R273" i="5"/>
  <c r="R316" i="5"/>
  <c r="S316" i="5"/>
  <c r="S170" i="5"/>
  <c r="R170" i="5"/>
  <c r="S99" i="5"/>
  <c r="R99" i="5"/>
  <c r="S45" i="5"/>
  <c r="R45" i="5"/>
  <c r="S529" i="5"/>
  <c r="R529" i="5"/>
  <c r="S475" i="5"/>
  <c r="R475" i="5"/>
  <c r="R279" i="5"/>
  <c r="S279" i="5"/>
  <c r="R173" i="5"/>
  <c r="S173" i="5"/>
  <c r="R165" i="5"/>
  <c r="S165" i="5"/>
  <c r="R118" i="5"/>
  <c r="S118" i="5"/>
  <c r="R57" i="5"/>
  <c r="S57" i="5"/>
  <c r="R460" i="5"/>
  <c r="S460" i="5"/>
  <c r="S469" i="5"/>
  <c r="R469" i="5"/>
  <c r="S358" i="5"/>
  <c r="R358" i="5"/>
  <c r="R357" i="5"/>
  <c r="S357" i="5"/>
  <c r="R302" i="5"/>
  <c r="S302" i="5"/>
  <c r="R185" i="5"/>
  <c r="S185" i="5"/>
  <c r="S106" i="5"/>
  <c r="R106" i="5"/>
  <c r="S31" i="5"/>
  <c r="R31" i="5"/>
  <c r="R509" i="5"/>
  <c r="S509" i="5"/>
  <c r="R471" i="5"/>
  <c r="S471" i="5"/>
  <c r="S245" i="5"/>
  <c r="R245" i="5"/>
  <c r="S330" i="5"/>
  <c r="R330" i="5"/>
  <c r="S230" i="5"/>
  <c r="R230" i="5"/>
  <c r="R102" i="5"/>
  <c r="S102" i="5"/>
  <c r="R60" i="5"/>
  <c r="S60" i="5"/>
  <c r="S430" i="5"/>
  <c r="R430" i="5"/>
  <c r="R457" i="5"/>
  <c r="S457" i="5"/>
  <c r="S347" i="5"/>
  <c r="R347" i="5"/>
  <c r="S348" i="5"/>
  <c r="R348" i="5"/>
  <c r="R292" i="5"/>
  <c r="S292" i="5"/>
  <c r="S180" i="5"/>
  <c r="R180" i="5"/>
  <c r="S94" i="5"/>
  <c r="R94" i="5"/>
  <c r="S21" i="5"/>
  <c r="R21" i="5"/>
  <c r="S497" i="5"/>
  <c r="R497" i="5"/>
  <c r="S463" i="5"/>
  <c r="R463" i="5"/>
  <c r="S441" i="5"/>
  <c r="R441" i="5"/>
  <c r="R321" i="5"/>
  <c r="S321" i="5"/>
  <c r="R225" i="5"/>
  <c r="S225" i="5"/>
  <c r="R159" i="5"/>
  <c r="S159" i="5"/>
  <c r="S55" i="5"/>
  <c r="R55" i="5"/>
  <c r="S498" i="5"/>
  <c r="R498" i="5"/>
  <c r="S369" i="5"/>
  <c r="R369" i="5"/>
  <c r="R402" i="5"/>
  <c r="S402" i="5"/>
  <c r="R297" i="5"/>
  <c r="S297" i="5"/>
  <c r="R203" i="5"/>
  <c r="S203" i="5"/>
  <c r="R174" i="5"/>
  <c r="S174" i="5"/>
  <c r="R86" i="5"/>
  <c r="S86" i="5"/>
  <c r="S261" i="5"/>
  <c r="R261" i="5"/>
  <c r="R361" i="5"/>
  <c r="S361" i="5"/>
  <c r="S356" i="5"/>
  <c r="R356" i="5"/>
  <c r="R349" i="5"/>
  <c r="S349" i="5"/>
  <c r="R332" i="5"/>
  <c r="S332" i="5"/>
  <c r="S340" i="5"/>
  <c r="R340" i="5"/>
  <c r="R487" i="5"/>
  <c r="S487" i="5"/>
  <c r="S494" i="5"/>
  <c r="R494" i="5"/>
  <c r="R454" i="5"/>
  <c r="S454" i="5"/>
  <c r="R478" i="5"/>
  <c r="S478" i="5"/>
  <c r="R517" i="5"/>
  <c r="S517" i="5"/>
  <c r="R366" i="5"/>
  <c r="S366" i="5"/>
  <c r="S401" i="5"/>
  <c r="R401" i="5"/>
  <c r="S367" i="5"/>
  <c r="R367" i="5"/>
  <c r="S419" i="5"/>
  <c r="R419" i="5"/>
  <c r="S555" i="5"/>
  <c r="R555" i="5"/>
  <c r="S436" i="5"/>
  <c r="R436" i="5"/>
  <c r="S322" i="5"/>
  <c r="R322" i="5"/>
  <c r="S339" i="5"/>
  <c r="R339" i="5"/>
  <c r="R276" i="5"/>
  <c r="S276" i="5"/>
  <c r="S172" i="5"/>
  <c r="R172" i="5"/>
  <c r="S111" i="5"/>
  <c r="R111" i="5"/>
  <c r="AG11" i="5"/>
  <c r="Q11" i="5"/>
  <c r="W11" i="5"/>
  <c r="R479" i="5"/>
  <c r="S479" i="5"/>
  <c r="S455" i="5"/>
  <c r="R455" i="5"/>
  <c r="S431" i="5"/>
  <c r="R431" i="5"/>
  <c r="R305" i="5"/>
  <c r="S305" i="5"/>
  <c r="S210" i="5"/>
  <c r="R210" i="5"/>
  <c r="S146" i="5"/>
  <c r="R146" i="5"/>
  <c r="R67" i="5"/>
  <c r="S67" i="5"/>
  <c r="S547" i="5"/>
  <c r="R547" i="5"/>
  <c r="R425" i="5"/>
  <c r="S425" i="5"/>
  <c r="R417" i="5"/>
  <c r="S417" i="5"/>
  <c r="R319" i="5"/>
  <c r="S319" i="5"/>
  <c r="S258" i="5"/>
  <c r="R258" i="5"/>
  <c r="R161" i="5"/>
  <c r="S161" i="5"/>
  <c r="S90" i="5"/>
  <c r="R90" i="5"/>
  <c r="S540" i="5"/>
  <c r="R540" i="5"/>
  <c r="R450" i="5"/>
  <c r="S450" i="5"/>
  <c r="R433" i="5"/>
  <c r="S433" i="5"/>
  <c r="R418" i="5"/>
  <c r="S418" i="5"/>
  <c r="R298" i="5"/>
  <c r="S298" i="5"/>
  <c r="S189" i="5"/>
  <c r="R189" i="5"/>
  <c r="S138" i="5"/>
  <c r="R138" i="5"/>
  <c r="S51" i="5"/>
  <c r="R51" i="5"/>
  <c r="R515" i="5"/>
  <c r="S515" i="5"/>
  <c r="S420" i="5"/>
  <c r="R420" i="5"/>
  <c r="R413" i="5"/>
  <c r="S413" i="5"/>
  <c r="R315" i="5"/>
  <c r="S315" i="5"/>
  <c r="S227" i="5"/>
  <c r="R227" i="5"/>
  <c r="R130" i="5"/>
  <c r="S130" i="5"/>
  <c r="R85" i="5"/>
  <c r="S85" i="5"/>
  <c r="S531" i="5"/>
  <c r="R531" i="5"/>
  <c r="S445" i="5"/>
  <c r="R445" i="5"/>
  <c r="R390" i="5"/>
  <c r="S390" i="5"/>
  <c r="S409" i="5"/>
  <c r="R409" i="5"/>
  <c r="S290" i="5"/>
  <c r="R290" i="5"/>
  <c r="S177" i="5"/>
  <c r="R177" i="5"/>
  <c r="S114" i="5"/>
  <c r="R114" i="5"/>
  <c r="R52" i="5"/>
  <c r="S52" i="5"/>
  <c r="R553" i="5"/>
  <c r="S553" i="5"/>
  <c r="S523" i="5"/>
  <c r="R523" i="5"/>
  <c r="S363" i="5"/>
  <c r="R363" i="5"/>
  <c r="S274" i="5"/>
  <c r="R274" i="5"/>
  <c r="S226" i="5"/>
  <c r="R226" i="5"/>
  <c r="R150" i="5"/>
  <c r="S150" i="5"/>
  <c r="R73" i="5"/>
  <c r="S73" i="5"/>
  <c r="S476" i="5"/>
  <c r="R476" i="5"/>
  <c r="S266" i="5"/>
  <c r="R266" i="5"/>
  <c r="S28" i="5"/>
  <c r="R28" i="5"/>
  <c r="S133" i="5"/>
  <c r="R133" i="5"/>
  <c r="R74" i="5"/>
  <c r="S74" i="5"/>
  <c r="R207" i="5"/>
  <c r="S207" i="5"/>
  <c r="R239" i="5"/>
  <c r="S239" i="5"/>
  <c r="S295" i="5"/>
  <c r="R295" i="5"/>
  <c r="R221" i="5"/>
  <c r="S221" i="5"/>
  <c r="R143" i="5"/>
  <c r="S143" i="5"/>
  <c r="S335" i="5"/>
  <c r="R335" i="5"/>
  <c r="S353" i="5"/>
  <c r="R353" i="5"/>
  <c r="S389" i="5"/>
  <c r="R389" i="5"/>
  <c r="R355" i="5"/>
  <c r="S355" i="5"/>
  <c r="R254" i="5"/>
  <c r="S254" i="5"/>
  <c r="R324" i="5"/>
  <c r="S324" i="5"/>
  <c r="S491" i="5"/>
  <c r="R491" i="5"/>
  <c r="R345" i="5"/>
  <c r="S345" i="5"/>
  <c r="R399" i="5"/>
  <c r="S399" i="5"/>
  <c r="R294" i="5"/>
  <c r="S294" i="5"/>
  <c r="S187" i="5"/>
  <c r="R187" i="5"/>
  <c r="R169" i="5"/>
  <c r="S169" i="5"/>
  <c r="R76" i="5"/>
  <c r="S76" i="5"/>
  <c r="R499" i="5"/>
  <c r="S499" i="5"/>
  <c r="S426" i="5"/>
  <c r="R426" i="5"/>
  <c r="R378" i="5"/>
  <c r="S378" i="5"/>
  <c r="S391" i="5"/>
  <c r="R391" i="5"/>
  <c r="S271" i="5"/>
  <c r="R271" i="5"/>
  <c r="S250" i="5"/>
  <c r="R250" i="5"/>
  <c r="R53" i="5"/>
  <c r="S53" i="5"/>
  <c r="S41" i="5"/>
  <c r="R41" i="5"/>
  <c r="R451" i="5"/>
  <c r="S451" i="5"/>
  <c r="R301" i="5"/>
  <c r="S301" i="5"/>
  <c r="S382" i="5"/>
  <c r="R382" i="5"/>
  <c r="S283" i="5"/>
  <c r="R283" i="5"/>
  <c r="R242" i="5"/>
  <c r="S242" i="5"/>
  <c r="R115" i="5"/>
  <c r="S115" i="5"/>
  <c r="R79" i="5"/>
  <c r="S79" i="5"/>
  <c r="S427" i="5"/>
  <c r="R427" i="5"/>
  <c r="R197" i="5"/>
  <c r="S197" i="5"/>
  <c r="S318" i="5"/>
  <c r="R318" i="5"/>
  <c r="S385" i="5"/>
  <c r="R385" i="5"/>
  <c r="R255" i="5"/>
  <c r="S255" i="5"/>
  <c r="S236" i="5"/>
  <c r="R236" i="5"/>
  <c r="R153" i="5"/>
  <c r="S153" i="5"/>
  <c r="S33" i="5"/>
  <c r="R33" i="5"/>
  <c r="R268" i="5"/>
  <c r="S268" i="5"/>
  <c r="S527" i="5"/>
  <c r="R527" i="5"/>
  <c r="R373" i="5"/>
  <c r="S373" i="5"/>
  <c r="S277" i="5"/>
  <c r="R277" i="5"/>
  <c r="S234" i="5"/>
  <c r="R234" i="5"/>
  <c r="S156" i="5"/>
  <c r="R156" i="5"/>
  <c r="S75" i="5"/>
  <c r="R75" i="5"/>
  <c r="R556" i="5"/>
  <c r="S556" i="5"/>
  <c r="S514" i="5"/>
  <c r="R514" i="5"/>
  <c r="R415" i="5"/>
  <c r="S415" i="5"/>
  <c r="S375" i="5"/>
  <c r="R375" i="5"/>
  <c r="R247" i="5"/>
  <c r="S247" i="5"/>
  <c r="S201" i="5"/>
  <c r="R201" i="5"/>
  <c r="R142" i="5"/>
  <c r="S142" i="5"/>
  <c r="S29" i="5"/>
  <c r="R29" i="5"/>
  <c r="S535" i="5"/>
  <c r="R535" i="5"/>
  <c r="R485" i="5"/>
  <c r="S485" i="5"/>
  <c r="S308" i="5"/>
  <c r="R308" i="5"/>
  <c r="S220" i="5"/>
  <c r="R220" i="5"/>
  <c r="S195" i="5"/>
  <c r="R195" i="5"/>
  <c r="R124" i="5"/>
  <c r="S124" i="5"/>
  <c r="R68" i="5"/>
  <c r="S68" i="5"/>
  <c r="AP525" i="5"/>
  <c r="AR525" i="5" s="1"/>
  <c r="AP23" i="5"/>
  <c r="AR23" i="5" s="1"/>
  <c r="AP462" i="5"/>
  <c r="AQ462" i="5" s="1"/>
  <c r="AP483" i="5"/>
  <c r="AQ483" i="5" s="1"/>
  <c r="AP244" i="5"/>
  <c r="AQ244" i="5" s="1"/>
  <c r="AP66" i="5"/>
  <c r="AR66" i="5" s="1"/>
  <c r="AP350" i="5"/>
  <c r="AR350" i="5" s="1"/>
  <c r="AP21" i="5"/>
  <c r="AR21" i="5" s="1"/>
  <c r="AP118" i="5"/>
  <c r="AQ118" i="5" s="1"/>
  <c r="AP219" i="5"/>
  <c r="AR219" i="5" s="1"/>
  <c r="AP345" i="5"/>
  <c r="AR345" i="5" s="1"/>
  <c r="AP498" i="5"/>
  <c r="AQ498" i="5" s="1"/>
  <c r="AP496" i="5"/>
  <c r="AQ496" i="5" s="1"/>
  <c r="AP392" i="5"/>
  <c r="AR392" i="5" s="1"/>
  <c r="AP428" i="5"/>
  <c r="AR428" i="5" s="1"/>
  <c r="AP194" i="5"/>
  <c r="AQ194" i="5" s="1"/>
  <c r="AP524" i="5"/>
  <c r="AQ524" i="5" s="1"/>
  <c r="AP142" i="5"/>
  <c r="AR142" i="5" s="1"/>
  <c r="AP544" i="5"/>
  <c r="AR544" i="5" s="1"/>
  <c r="AP93" i="5"/>
  <c r="AR93" i="5" s="1"/>
  <c r="AP372" i="5"/>
  <c r="AR372" i="5" s="1"/>
  <c r="AP436" i="5"/>
  <c r="AQ436" i="5" s="1"/>
  <c r="AP158" i="5"/>
  <c r="AR158" i="5" s="1"/>
  <c r="AP45" i="5"/>
  <c r="AQ45" i="5" s="1"/>
  <c r="AP237" i="5"/>
  <c r="AQ237" i="5" s="1"/>
  <c r="AP34" i="5"/>
  <c r="AQ34" i="5" s="1"/>
  <c r="AP368" i="5"/>
  <c r="AQ368" i="5" s="1"/>
  <c r="AP330" i="5"/>
  <c r="AQ330" i="5" s="1"/>
  <c r="AP205" i="5"/>
  <c r="AQ205" i="5" s="1"/>
  <c r="AP522" i="5"/>
  <c r="AQ522" i="5" s="1"/>
  <c r="AP302" i="5"/>
  <c r="AR302" i="5" s="1"/>
  <c r="AP190" i="5"/>
  <c r="AR190" i="5" s="1"/>
  <c r="AP337" i="5"/>
  <c r="AQ337" i="5" s="1"/>
  <c r="AP22" i="5"/>
  <c r="AR22" i="5" s="1"/>
  <c r="AP257" i="5"/>
  <c r="AR257" i="5" s="1"/>
  <c r="AP558" i="5"/>
  <c r="AQ558" i="5" s="1"/>
  <c r="AP278" i="5"/>
  <c r="AQ278" i="5" s="1"/>
  <c r="AP438" i="5"/>
  <c r="AR438" i="5" s="1"/>
  <c r="AP477" i="5"/>
  <c r="AQ477" i="5" s="1"/>
  <c r="AP82" i="5"/>
  <c r="AQ82" i="5" s="1"/>
  <c r="AP20" i="5"/>
  <c r="AQ20" i="5" s="1"/>
  <c r="AP184" i="5"/>
  <c r="AR184" i="5" s="1"/>
  <c r="AP545" i="5"/>
  <c r="AR545" i="5" s="1"/>
  <c r="AP402" i="5"/>
  <c r="AR402" i="5" s="1"/>
  <c r="AP444" i="5"/>
  <c r="AR444" i="5" s="1"/>
  <c r="AP259" i="5"/>
  <c r="AR259" i="5" s="1"/>
  <c r="AP417" i="5"/>
  <c r="AQ417" i="5" s="1"/>
  <c r="AP460" i="5"/>
  <c r="AR460" i="5" s="1"/>
  <c r="AP144" i="5"/>
  <c r="AQ144" i="5" s="1"/>
  <c r="AP165" i="5"/>
  <c r="AQ165" i="5" s="1"/>
  <c r="AP542" i="5"/>
  <c r="AR542" i="5" s="1"/>
  <c r="AP262" i="5"/>
  <c r="AQ262" i="5" s="1"/>
  <c r="AP87" i="5"/>
  <c r="AR87" i="5" s="1"/>
  <c r="AP103" i="5"/>
  <c r="AQ103" i="5" s="1"/>
  <c r="AP211" i="5"/>
  <c r="AR211" i="5" s="1"/>
  <c r="AP378" i="5"/>
  <c r="AQ378" i="5" s="1"/>
  <c r="AP138" i="5"/>
  <c r="AQ138" i="5" s="1"/>
  <c r="AP493" i="5"/>
  <c r="AQ493" i="5" s="1"/>
  <c r="AP495" i="5"/>
  <c r="AQ495" i="5" s="1"/>
  <c r="AP104" i="5"/>
  <c r="AR104" i="5" s="1"/>
  <c r="AP384" i="5"/>
  <c r="AQ384" i="5" s="1"/>
  <c r="AP261" i="5"/>
  <c r="AQ261" i="5" s="1"/>
  <c r="AP70" i="5"/>
  <c r="AQ70" i="5" s="1"/>
  <c r="AP56" i="5"/>
  <c r="AQ56" i="5" s="1"/>
  <c r="AP397" i="5"/>
  <c r="AQ397" i="5" s="1"/>
  <c r="AP457" i="5"/>
  <c r="AR457" i="5" s="1"/>
  <c r="AP370" i="5"/>
  <c r="AR370" i="5" s="1"/>
  <c r="AP454" i="5"/>
  <c r="AR454" i="5" s="1"/>
  <c r="AP318" i="5"/>
  <c r="AR318" i="5" s="1"/>
  <c r="U312" i="5"/>
  <c r="V312" i="5"/>
  <c r="AN150" i="5"/>
  <c r="AO150" i="5"/>
  <c r="AO399" i="5"/>
  <c r="AN399" i="5"/>
  <c r="AO381" i="5"/>
  <c r="AN381" i="5"/>
  <c r="AO60" i="5"/>
  <c r="AN60" i="5"/>
  <c r="AO408" i="5"/>
  <c r="AN408" i="5"/>
  <c r="U427" i="5"/>
  <c r="V427" i="5"/>
  <c r="U409" i="5"/>
  <c r="V409" i="5"/>
  <c r="U271" i="5"/>
  <c r="V271" i="5"/>
  <c r="V557" i="5"/>
  <c r="U557" i="5"/>
  <c r="AN59" i="5"/>
  <c r="AO59" i="5"/>
  <c r="AP533" i="5"/>
  <c r="AQ533" i="5" s="1"/>
  <c r="AP404" i="5"/>
  <c r="AR404" i="5" s="1"/>
  <c r="AP488" i="5"/>
  <c r="AR488" i="5" s="1"/>
  <c r="AP291" i="5"/>
  <c r="AR291" i="5" s="1"/>
  <c r="AP260" i="5"/>
  <c r="AQ260" i="5" s="1"/>
  <c r="AP37" i="5"/>
  <c r="AR37" i="5" s="1"/>
  <c r="AP422" i="5"/>
  <c r="AQ422" i="5" s="1"/>
  <c r="AP226" i="5"/>
  <c r="AQ226" i="5" s="1"/>
  <c r="AP420" i="5"/>
  <c r="AR420" i="5" s="1"/>
  <c r="U384" i="5"/>
  <c r="V384" i="5"/>
  <c r="AN254" i="5"/>
  <c r="AO254" i="5"/>
  <c r="AO361" i="5"/>
  <c r="AN361" i="5"/>
  <c r="AO478" i="5"/>
  <c r="AN478" i="5"/>
  <c r="AN398" i="5"/>
  <c r="AO398" i="5"/>
  <c r="AN511" i="5"/>
  <c r="AO511" i="5"/>
  <c r="AO271" i="5"/>
  <c r="AN271" i="5"/>
  <c r="AN503" i="5"/>
  <c r="AO503" i="5"/>
  <c r="AN373" i="5"/>
  <c r="AO373" i="5"/>
  <c r="AO146" i="5"/>
  <c r="AN146" i="5"/>
  <c r="AO401" i="5"/>
  <c r="AN401" i="5"/>
  <c r="AN143" i="5"/>
  <c r="AO143" i="5"/>
  <c r="AN441" i="5"/>
  <c r="AO441" i="5"/>
  <c r="AN226" i="5"/>
  <c r="AO226" i="5"/>
  <c r="AO542" i="5"/>
  <c r="AN542" i="5"/>
  <c r="AN377" i="5"/>
  <c r="AO377" i="5"/>
  <c r="AO190" i="5"/>
  <c r="AN190" i="5"/>
  <c r="AO553" i="5"/>
  <c r="AN553" i="5"/>
  <c r="AN321" i="5"/>
  <c r="AO321" i="5"/>
  <c r="AN21" i="5"/>
  <c r="AO21" i="5"/>
  <c r="AN196" i="5"/>
  <c r="AO196" i="5"/>
  <c r="AN36" i="5"/>
  <c r="AO36" i="5"/>
  <c r="AN257" i="5"/>
  <c r="AO257" i="5"/>
  <c r="AN376" i="5"/>
  <c r="AO376" i="5"/>
  <c r="AM93" i="4"/>
  <c r="AN93" i="4" s="1"/>
  <c r="W93" i="4"/>
  <c r="U88" i="5"/>
  <c r="V88" i="5"/>
  <c r="AN248" i="5"/>
  <c r="AO248" i="5"/>
  <c r="AO57" i="5"/>
  <c r="AN57" i="5"/>
  <c r="U24" i="5"/>
  <c r="V24" i="5"/>
  <c r="AO280" i="5"/>
  <c r="AN280" i="5"/>
  <c r="U376" i="5"/>
  <c r="V376" i="5"/>
  <c r="AM40" i="4"/>
  <c r="AN40" i="4" s="1"/>
  <c r="W40" i="4"/>
  <c r="Y40" i="4" s="1"/>
  <c r="Z40" i="4" s="1"/>
  <c r="AF40" i="4" s="1"/>
  <c r="V309" i="5"/>
  <c r="U309" i="5"/>
  <c r="V497" i="5"/>
  <c r="U497" i="5"/>
  <c r="U490" i="5"/>
  <c r="V490" i="5"/>
  <c r="V556" i="5"/>
  <c r="U556" i="5"/>
  <c r="V541" i="5"/>
  <c r="U541" i="5"/>
  <c r="U421" i="5"/>
  <c r="V421" i="5"/>
  <c r="V370" i="5"/>
  <c r="U370" i="5"/>
  <c r="U404" i="5"/>
  <c r="V404" i="5"/>
  <c r="V551" i="5"/>
  <c r="U551" i="5"/>
  <c r="V483" i="5"/>
  <c r="U483" i="5"/>
  <c r="U365" i="5"/>
  <c r="V365" i="5"/>
  <c r="V343" i="5"/>
  <c r="U343" i="5"/>
  <c r="U241" i="5"/>
  <c r="V241" i="5"/>
  <c r="U137" i="5"/>
  <c r="V137" i="5"/>
  <c r="V543" i="5"/>
  <c r="U543" i="5"/>
  <c r="V358" i="5"/>
  <c r="U358" i="5"/>
  <c r="V294" i="5"/>
  <c r="U294" i="5"/>
  <c r="U335" i="5"/>
  <c r="V335" i="5"/>
  <c r="U265" i="5"/>
  <c r="V265" i="5"/>
  <c r="U130" i="5"/>
  <c r="V130" i="5"/>
  <c r="U527" i="5"/>
  <c r="V527" i="5"/>
  <c r="U333" i="5"/>
  <c r="V333" i="5"/>
  <c r="V361" i="5"/>
  <c r="U361" i="5"/>
  <c r="U330" i="5"/>
  <c r="V330" i="5"/>
  <c r="V263" i="5"/>
  <c r="U263" i="5"/>
  <c r="U119" i="5"/>
  <c r="V119" i="5"/>
  <c r="V545" i="5"/>
  <c r="U545" i="5"/>
  <c r="U501" i="5"/>
  <c r="V501" i="5"/>
  <c r="V355" i="5"/>
  <c r="U355" i="5"/>
  <c r="U326" i="5"/>
  <c r="V326" i="5"/>
  <c r="U260" i="5"/>
  <c r="V260" i="5"/>
  <c r="U115" i="5"/>
  <c r="V115" i="5"/>
  <c r="U505" i="5"/>
  <c r="V505" i="5"/>
  <c r="U369" i="5"/>
  <c r="V369" i="5"/>
  <c r="U258" i="5"/>
  <c r="V258" i="5"/>
  <c r="U206" i="5"/>
  <c r="V206" i="5"/>
  <c r="U36" i="5"/>
  <c r="V36" i="5"/>
  <c r="U463" i="5"/>
  <c r="V463" i="5"/>
  <c r="V499" i="5"/>
  <c r="U499" i="5"/>
  <c r="U341" i="5"/>
  <c r="V341" i="5"/>
  <c r="V299" i="5"/>
  <c r="U299" i="5"/>
  <c r="V215" i="5"/>
  <c r="U215" i="5"/>
  <c r="V63" i="5"/>
  <c r="U63" i="5"/>
  <c r="U517" i="5"/>
  <c r="V517" i="5"/>
  <c r="U385" i="5"/>
  <c r="V385" i="5"/>
  <c r="V292" i="5"/>
  <c r="U292" i="5"/>
  <c r="U211" i="5"/>
  <c r="V211" i="5"/>
  <c r="V39" i="5"/>
  <c r="U39" i="5"/>
  <c r="U94" i="5"/>
  <c r="V94" i="5"/>
  <c r="U66" i="5"/>
  <c r="V66" i="5"/>
  <c r="U70" i="5"/>
  <c r="V70" i="5"/>
  <c r="U448" i="5"/>
  <c r="V448" i="5"/>
  <c r="AP218" i="5"/>
  <c r="AR218" i="5" s="1"/>
  <c r="AO507" i="5"/>
  <c r="AN507" i="5"/>
  <c r="AO316" i="5"/>
  <c r="AN316" i="5"/>
  <c r="V456" i="5"/>
  <c r="U456" i="5"/>
  <c r="U248" i="5"/>
  <c r="V248" i="5"/>
  <c r="V297" i="5"/>
  <c r="U297" i="5"/>
  <c r="V548" i="5"/>
  <c r="U548" i="5"/>
  <c r="U396" i="5"/>
  <c r="V396" i="5"/>
  <c r="U430" i="5"/>
  <c r="V430" i="5"/>
  <c r="AP535" i="5"/>
  <c r="AQ535" i="5" s="1"/>
  <c r="AP551" i="5"/>
  <c r="AQ551" i="5" s="1"/>
  <c r="AP327" i="5"/>
  <c r="AQ327" i="5" s="1"/>
  <c r="AP134" i="5"/>
  <c r="AQ134" i="5" s="1"/>
  <c r="AP326" i="5"/>
  <c r="AR326" i="5" s="1"/>
  <c r="AP463" i="5"/>
  <c r="AQ463" i="5" s="1"/>
  <c r="AP77" i="5"/>
  <c r="AR77" i="5" s="1"/>
  <c r="AP126" i="5"/>
  <c r="AQ126" i="5" s="1"/>
  <c r="AP117" i="5"/>
  <c r="AQ117" i="5" s="1"/>
  <c r="AP530" i="5"/>
  <c r="AR530" i="5" s="1"/>
  <c r="AP321" i="5"/>
  <c r="AQ321" i="5" s="1"/>
  <c r="AN368" i="5"/>
  <c r="AO368" i="5"/>
  <c r="AO279" i="5"/>
  <c r="AN279" i="5"/>
  <c r="AN182" i="5"/>
  <c r="AO182" i="5"/>
  <c r="AO393" i="5"/>
  <c r="AN393" i="5"/>
  <c r="AO275" i="5"/>
  <c r="AN275" i="5"/>
  <c r="AN403" i="5"/>
  <c r="AO403" i="5"/>
  <c r="AN183" i="5"/>
  <c r="AO183" i="5"/>
  <c r="AO453" i="5"/>
  <c r="AN453" i="5"/>
  <c r="AN330" i="5"/>
  <c r="AO330" i="5"/>
  <c r="AO54" i="5"/>
  <c r="AN54" i="5"/>
  <c r="AO342" i="5"/>
  <c r="AN342" i="5"/>
  <c r="AN138" i="5"/>
  <c r="AO138" i="5"/>
  <c r="AN470" i="5"/>
  <c r="AO470" i="5"/>
  <c r="AN213" i="5"/>
  <c r="AO213" i="5"/>
  <c r="AO558" i="5"/>
  <c r="AN558" i="5"/>
  <c r="AN428" i="5"/>
  <c r="AO428" i="5"/>
  <c r="AN180" i="5"/>
  <c r="AO180" i="5"/>
  <c r="AN545" i="5"/>
  <c r="AO545" i="5"/>
  <c r="AO303" i="5"/>
  <c r="AN303" i="5"/>
  <c r="AO22" i="5"/>
  <c r="AN22" i="5"/>
  <c r="AN201" i="5"/>
  <c r="AO201" i="5"/>
  <c r="AM69" i="4"/>
  <c r="AN69" i="4" s="1"/>
  <c r="W69" i="4"/>
  <c r="U504" i="5"/>
  <c r="V504" i="5"/>
  <c r="AN337" i="5"/>
  <c r="AO337" i="5"/>
  <c r="V336" i="5"/>
  <c r="U336" i="5"/>
  <c r="AM71" i="4"/>
  <c r="AN71" i="4" s="1"/>
  <c r="W71" i="4"/>
  <c r="Y71" i="4" s="1"/>
  <c r="AN344" i="5"/>
  <c r="AO344" i="5"/>
  <c r="AO308" i="5"/>
  <c r="AN308" i="5"/>
  <c r="AN120" i="5"/>
  <c r="AO120" i="5"/>
  <c r="V224" i="5"/>
  <c r="U224" i="5"/>
  <c r="AO177" i="5"/>
  <c r="AN177" i="5"/>
  <c r="U264" i="5"/>
  <c r="V264" i="5"/>
  <c r="V480" i="5"/>
  <c r="U480" i="5"/>
  <c r="U314" i="5"/>
  <c r="V314" i="5"/>
  <c r="V444" i="5"/>
  <c r="U444" i="5"/>
  <c r="U422" i="5"/>
  <c r="V422" i="5"/>
  <c r="U395" i="5"/>
  <c r="V395" i="5"/>
  <c r="V491" i="5"/>
  <c r="U491" i="5"/>
  <c r="U325" i="5"/>
  <c r="V325" i="5"/>
  <c r="V390" i="5"/>
  <c r="U390" i="5"/>
  <c r="U359" i="5"/>
  <c r="V359" i="5"/>
  <c r="U450" i="5"/>
  <c r="V450" i="5"/>
  <c r="U459" i="5"/>
  <c r="V459" i="5"/>
  <c r="U319" i="5"/>
  <c r="V319" i="5"/>
  <c r="V305" i="5"/>
  <c r="U305" i="5"/>
  <c r="U210" i="5"/>
  <c r="V210" i="5"/>
  <c r="U126" i="5"/>
  <c r="V126" i="5"/>
  <c r="V426" i="5"/>
  <c r="U426" i="5"/>
  <c r="U347" i="5"/>
  <c r="V347" i="5"/>
  <c r="V407" i="5"/>
  <c r="U407" i="5"/>
  <c r="V303" i="5"/>
  <c r="U303" i="5"/>
  <c r="U207" i="5"/>
  <c r="V207" i="5"/>
  <c r="U131" i="5"/>
  <c r="V131" i="5"/>
  <c r="U412" i="5"/>
  <c r="V412" i="5"/>
  <c r="U503" i="5"/>
  <c r="V503" i="5"/>
  <c r="U275" i="5"/>
  <c r="V275" i="5"/>
  <c r="V300" i="5"/>
  <c r="U300" i="5"/>
  <c r="V236" i="5"/>
  <c r="U236" i="5"/>
  <c r="U123" i="5"/>
  <c r="V123" i="5"/>
  <c r="U465" i="5"/>
  <c r="V465" i="5"/>
  <c r="U474" i="5"/>
  <c r="V474" i="5"/>
  <c r="U391" i="5"/>
  <c r="V391" i="5"/>
  <c r="V298" i="5"/>
  <c r="U298" i="5"/>
  <c r="U235" i="5"/>
  <c r="V235" i="5"/>
  <c r="U101" i="5"/>
  <c r="V101" i="5"/>
  <c r="U460" i="5"/>
  <c r="V460" i="5"/>
  <c r="V433" i="5"/>
  <c r="U433" i="5"/>
  <c r="V327" i="5"/>
  <c r="U327" i="5"/>
  <c r="U172" i="5"/>
  <c r="V172" i="5"/>
  <c r="U479" i="5"/>
  <c r="V479" i="5"/>
  <c r="U434" i="5"/>
  <c r="V434" i="5"/>
  <c r="U458" i="5"/>
  <c r="V458" i="5"/>
  <c r="V429" i="5"/>
  <c r="U429" i="5"/>
  <c r="V251" i="5"/>
  <c r="U251" i="5"/>
  <c r="V204" i="5"/>
  <c r="U204" i="5"/>
  <c r="U22" i="5"/>
  <c r="V22" i="5"/>
  <c r="U431" i="5"/>
  <c r="V431" i="5"/>
  <c r="V317" i="5"/>
  <c r="U317" i="5"/>
  <c r="U250" i="5"/>
  <c r="V250" i="5"/>
  <c r="V201" i="5"/>
  <c r="U201" i="5"/>
  <c r="V139" i="5"/>
  <c r="U139" i="5"/>
  <c r="V41" i="5"/>
  <c r="U41" i="5"/>
  <c r="V33" i="5"/>
  <c r="U33" i="5"/>
  <c r="U34" i="5"/>
  <c r="V34" i="5"/>
  <c r="V296" i="5"/>
  <c r="U296" i="5"/>
  <c r="U432" i="5"/>
  <c r="V432" i="5"/>
  <c r="AO78" i="5"/>
  <c r="AN78" i="5"/>
  <c r="AO181" i="5"/>
  <c r="AN181" i="5"/>
  <c r="AO134" i="5"/>
  <c r="AN134" i="5"/>
  <c r="AO166" i="5"/>
  <c r="AN166" i="5"/>
  <c r="U440" i="5"/>
  <c r="V440" i="5"/>
  <c r="V476" i="5"/>
  <c r="U476" i="5"/>
  <c r="V291" i="5"/>
  <c r="U291" i="5"/>
  <c r="U281" i="5"/>
  <c r="V281" i="5"/>
  <c r="V229" i="5"/>
  <c r="U229" i="5"/>
  <c r="U269" i="5"/>
  <c r="V269" i="5"/>
  <c r="U268" i="5"/>
  <c r="V268" i="5"/>
  <c r="U133" i="5"/>
  <c r="V133" i="5"/>
  <c r="U346" i="5"/>
  <c r="V346" i="5"/>
  <c r="U154" i="5"/>
  <c r="V154" i="5"/>
  <c r="V38" i="5"/>
  <c r="U38" i="5"/>
  <c r="AM64" i="4"/>
  <c r="AN64" i="4" s="1"/>
  <c r="W64" i="4"/>
  <c r="X64" i="4" s="1"/>
  <c r="AJ64" i="4" s="1"/>
  <c r="AP78" i="5"/>
  <c r="AQ78" i="5" s="1"/>
  <c r="AP448" i="5"/>
  <c r="AQ448" i="5" s="1"/>
  <c r="AP487" i="5"/>
  <c r="AR487" i="5" s="1"/>
  <c r="U8" i="5"/>
  <c r="V8" i="5"/>
  <c r="AN288" i="5"/>
  <c r="AO288" i="5"/>
  <c r="AN378" i="5"/>
  <c r="AO378" i="5"/>
  <c r="AO516" i="5"/>
  <c r="AN516" i="5"/>
  <c r="AO529" i="5"/>
  <c r="AN529" i="5"/>
  <c r="AN522" i="5"/>
  <c r="AO522" i="5"/>
  <c r="AN19" i="5"/>
  <c r="AO19" i="5"/>
  <c r="AO366" i="5"/>
  <c r="AN366" i="5"/>
  <c r="AN154" i="5"/>
  <c r="AO154" i="5"/>
  <c r="AO391" i="5"/>
  <c r="AN391" i="5"/>
  <c r="AO269" i="5"/>
  <c r="AN269" i="5"/>
  <c r="AN524" i="5"/>
  <c r="AO524" i="5"/>
  <c r="AO250" i="5"/>
  <c r="AN250" i="5"/>
  <c r="AN55" i="5"/>
  <c r="AO55" i="5"/>
  <c r="AN386" i="5"/>
  <c r="AO386" i="5"/>
  <c r="AO126" i="5"/>
  <c r="AN126" i="5"/>
  <c r="AO489" i="5"/>
  <c r="AN489" i="5"/>
  <c r="AN310" i="5"/>
  <c r="AO310" i="5"/>
  <c r="AO86" i="5"/>
  <c r="AN86" i="5"/>
  <c r="AO461" i="5"/>
  <c r="AN461" i="5"/>
  <c r="AN214" i="5"/>
  <c r="AO214" i="5"/>
  <c r="AO357" i="5"/>
  <c r="AN357" i="5"/>
  <c r="AN124" i="5"/>
  <c r="AO124" i="5"/>
  <c r="V80" i="5"/>
  <c r="U80" i="5"/>
  <c r="V288" i="5"/>
  <c r="U288" i="5"/>
  <c r="AM19" i="4"/>
  <c r="AN19" i="4" s="1"/>
  <c r="W19" i="4"/>
  <c r="Y19" i="4" s="1"/>
  <c r="Z19" i="4" s="1"/>
  <c r="AF19" i="4" s="1"/>
  <c r="AN148" i="5"/>
  <c r="AO148" i="5"/>
  <c r="U56" i="5"/>
  <c r="V56" i="5"/>
  <c r="AN424" i="5"/>
  <c r="AO424" i="5"/>
  <c r="U496" i="5"/>
  <c r="V496" i="5"/>
  <c r="V344" i="5"/>
  <c r="U344" i="5"/>
  <c r="AO448" i="5"/>
  <c r="AN448" i="5"/>
  <c r="U100" i="5"/>
  <c r="V100" i="5"/>
  <c r="U462" i="5"/>
  <c r="V462" i="5"/>
  <c r="V418" i="5"/>
  <c r="U418" i="5"/>
  <c r="V380" i="5"/>
  <c r="U380" i="5"/>
  <c r="U242" i="5"/>
  <c r="V242" i="5"/>
  <c r="V69" i="5"/>
  <c r="U69" i="5"/>
  <c r="V67" i="5"/>
  <c r="U67" i="5"/>
  <c r="U194" i="5"/>
  <c r="V194" i="5"/>
  <c r="V338" i="5"/>
  <c r="U338" i="5"/>
  <c r="U515" i="5"/>
  <c r="V515" i="5"/>
  <c r="U247" i="5"/>
  <c r="V247" i="5"/>
  <c r="U253" i="5"/>
  <c r="V253" i="5"/>
  <c r="U205" i="5"/>
  <c r="V205" i="5"/>
  <c r="U50" i="5"/>
  <c r="V50" i="5"/>
  <c r="U529" i="5"/>
  <c r="V529" i="5"/>
  <c r="U478" i="5"/>
  <c r="V478" i="5"/>
  <c r="V214" i="5"/>
  <c r="U214" i="5"/>
  <c r="U246" i="5"/>
  <c r="V246" i="5"/>
  <c r="V239" i="5"/>
  <c r="U239" i="5"/>
  <c r="U92" i="5"/>
  <c r="V92" i="5"/>
  <c r="V560" i="5"/>
  <c r="U560" i="5"/>
  <c r="U454" i="5"/>
  <c r="V454" i="5"/>
  <c r="U372" i="5"/>
  <c r="V372" i="5"/>
  <c r="U231" i="5"/>
  <c r="V231" i="5"/>
  <c r="V227" i="5"/>
  <c r="U227" i="5"/>
  <c r="V61" i="5"/>
  <c r="U61" i="5"/>
  <c r="U493" i="5"/>
  <c r="V493" i="5"/>
  <c r="U537" i="5"/>
  <c r="V537" i="5"/>
  <c r="U436" i="5"/>
  <c r="V436" i="5"/>
  <c r="U226" i="5"/>
  <c r="V226" i="5"/>
  <c r="U212" i="5"/>
  <c r="V212" i="5"/>
  <c r="U53" i="5"/>
  <c r="V53" i="5"/>
  <c r="U414" i="5"/>
  <c r="V414" i="5"/>
  <c r="U366" i="5"/>
  <c r="V366" i="5"/>
  <c r="U254" i="5"/>
  <c r="V254" i="5"/>
  <c r="U134" i="5"/>
  <c r="V134" i="5"/>
  <c r="V555" i="5"/>
  <c r="U555" i="5"/>
  <c r="U519" i="5"/>
  <c r="V519" i="5"/>
  <c r="U411" i="5"/>
  <c r="V411" i="5"/>
  <c r="V315" i="5"/>
  <c r="U315" i="5"/>
  <c r="U279" i="5"/>
  <c r="V279" i="5"/>
  <c r="U118" i="5"/>
  <c r="V118" i="5"/>
  <c r="V531" i="5"/>
  <c r="U531" i="5"/>
  <c r="V494" i="5"/>
  <c r="U494" i="5"/>
  <c r="V362" i="5"/>
  <c r="U362" i="5"/>
  <c r="V274" i="5"/>
  <c r="U274" i="5"/>
  <c r="U187" i="5"/>
  <c r="V187" i="5"/>
  <c r="U98" i="5"/>
  <c r="V98" i="5"/>
  <c r="V47" i="5"/>
  <c r="U47" i="5"/>
  <c r="U84" i="5"/>
  <c r="V84" i="5"/>
  <c r="AO20" i="5"/>
  <c r="AN20" i="5"/>
  <c r="AM27" i="4"/>
  <c r="AN27" i="4" s="1"/>
  <c r="W27" i="4"/>
  <c r="Y27" i="4" s="1"/>
  <c r="Z27" i="4" s="1"/>
  <c r="AF27" i="4" s="1"/>
  <c r="AN216" i="5"/>
  <c r="AO216" i="5"/>
  <c r="AN151" i="5"/>
  <c r="AO151" i="5"/>
  <c r="AO84" i="5"/>
  <c r="AN84" i="5"/>
  <c r="AN101" i="5"/>
  <c r="AO101" i="5"/>
  <c r="U512" i="5"/>
  <c r="V512" i="5"/>
  <c r="U435" i="5"/>
  <c r="V435" i="5"/>
  <c r="U244" i="5"/>
  <c r="V244" i="5"/>
  <c r="U82" i="5"/>
  <c r="V82" i="5"/>
  <c r="U484" i="5"/>
  <c r="V484" i="5"/>
  <c r="U453" i="5"/>
  <c r="V453" i="5"/>
  <c r="V57" i="5"/>
  <c r="U57" i="5"/>
  <c r="V549" i="5"/>
  <c r="U549" i="5"/>
  <c r="V428" i="5"/>
  <c r="U428" i="5"/>
  <c r="V322" i="5"/>
  <c r="U322" i="5"/>
  <c r="U393" i="5"/>
  <c r="V393" i="5"/>
  <c r="V27" i="5"/>
  <c r="U27" i="5"/>
  <c r="AP101" i="5"/>
  <c r="AR101" i="5" s="1"/>
  <c r="AP143" i="5"/>
  <c r="AR143" i="5" s="1"/>
  <c r="AP81" i="5"/>
  <c r="AQ81" i="5" s="1"/>
  <c r="U256" i="5"/>
  <c r="V256" i="5"/>
  <c r="V320" i="5"/>
  <c r="U320" i="5"/>
  <c r="AO290" i="5"/>
  <c r="AN290" i="5"/>
  <c r="AN245" i="5"/>
  <c r="AO245" i="5"/>
  <c r="AO429" i="5"/>
  <c r="AN429" i="5"/>
  <c r="AO471" i="5"/>
  <c r="AN471" i="5"/>
  <c r="AO407" i="5"/>
  <c r="AN407" i="5"/>
  <c r="AO417" i="5"/>
  <c r="AN417" i="5"/>
  <c r="AN90" i="5"/>
  <c r="AO90" i="5"/>
  <c r="AN452" i="5"/>
  <c r="AO452" i="5"/>
  <c r="AN266" i="5"/>
  <c r="AO266" i="5"/>
  <c r="AN425" i="5"/>
  <c r="AO425" i="5"/>
  <c r="AO329" i="5"/>
  <c r="AN329" i="5"/>
  <c r="AO44" i="5"/>
  <c r="AN44" i="5"/>
  <c r="AO319" i="5"/>
  <c r="AN319" i="5"/>
  <c r="AO94" i="5"/>
  <c r="AN94" i="5"/>
  <c r="AO405" i="5"/>
  <c r="AN405" i="5"/>
  <c r="AN188" i="5"/>
  <c r="AO188" i="5"/>
  <c r="AO76" i="5"/>
  <c r="AN76" i="5"/>
  <c r="AN375" i="5"/>
  <c r="AO375" i="5"/>
  <c r="AN165" i="5"/>
  <c r="AO165" i="5"/>
  <c r="AO295" i="5"/>
  <c r="AN295" i="5"/>
  <c r="AN100" i="5"/>
  <c r="AO100" i="5"/>
  <c r="V368" i="5"/>
  <c r="U368" i="5"/>
  <c r="AN236" i="5"/>
  <c r="AO236" i="5"/>
  <c r="AO208" i="5"/>
  <c r="AN208" i="5"/>
  <c r="U400" i="5"/>
  <c r="V400" i="5"/>
  <c r="V112" i="5"/>
  <c r="U112" i="5"/>
  <c r="AO144" i="5"/>
  <c r="AN144" i="5"/>
  <c r="U526" i="5"/>
  <c r="V526" i="5"/>
  <c r="AM137" i="4"/>
  <c r="AN137" i="4" s="1"/>
  <c r="W137" i="4"/>
  <c r="AO480" i="5"/>
  <c r="AN480" i="5"/>
  <c r="AO300" i="5"/>
  <c r="AN300" i="5"/>
  <c r="V328" i="5"/>
  <c r="U328" i="5"/>
  <c r="AO35" i="5"/>
  <c r="AN35" i="5"/>
  <c r="U518" i="5"/>
  <c r="V518" i="5"/>
  <c r="U349" i="5"/>
  <c r="V349" i="5"/>
  <c r="U307" i="5"/>
  <c r="V307" i="5"/>
  <c r="V285" i="5"/>
  <c r="U285" i="5"/>
  <c r="U141" i="5"/>
  <c r="V141" i="5"/>
  <c r="U19" i="5"/>
  <c r="V19" i="5"/>
  <c r="U552" i="5"/>
  <c r="V552" i="5"/>
  <c r="V44" i="5"/>
  <c r="U44" i="5"/>
  <c r="U510" i="5"/>
  <c r="V510" i="5"/>
  <c r="V481" i="5"/>
  <c r="U481" i="5"/>
  <c r="U420" i="5"/>
  <c r="V420" i="5"/>
  <c r="U323" i="5"/>
  <c r="V323" i="5"/>
  <c r="U190" i="5"/>
  <c r="V190" i="5"/>
  <c r="U28" i="5"/>
  <c r="V28" i="5"/>
  <c r="V506" i="5"/>
  <c r="U506" i="5"/>
  <c r="U443" i="5"/>
  <c r="V443" i="5"/>
  <c r="V415" i="5"/>
  <c r="U415" i="5"/>
  <c r="V316" i="5"/>
  <c r="U316" i="5"/>
  <c r="U203" i="5"/>
  <c r="V203" i="5"/>
  <c r="U30" i="5"/>
  <c r="V30" i="5"/>
  <c r="U495" i="5"/>
  <c r="V495" i="5"/>
  <c r="V339" i="5"/>
  <c r="U339" i="5"/>
  <c r="U437" i="5"/>
  <c r="V437" i="5"/>
  <c r="V313" i="5"/>
  <c r="U313" i="5"/>
  <c r="U196" i="5"/>
  <c r="V196" i="5"/>
  <c r="U502" i="5"/>
  <c r="V502" i="5"/>
  <c r="U470" i="5"/>
  <c r="V470" i="5"/>
  <c r="V507" i="5"/>
  <c r="U507" i="5"/>
  <c r="U405" i="5"/>
  <c r="V405" i="5"/>
  <c r="V311" i="5"/>
  <c r="U311" i="5"/>
  <c r="V188" i="5"/>
  <c r="U188" i="5"/>
  <c r="Q10" i="5"/>
  <c r="AG10" i="5"/>
  <c r="T10" i="5"/>
  <c r="AM10" i="5"/>
  <c r="W10" i="5"/>
  <c r="V383" i="5"/>
  <c r="U383" i="5"/>
  <c r="V329" i="5"/>
  <c r="U329" i="5"/>
  <c r="U233" i="5"/>
  <c r="V233" i="5"/>
  <c r="U114" i="5"/>
  <c r="V114" i="5"/>
  <c r="U514" i="5"/>
  <c r="V514" i="5"/>
  <c r="U498" i="5"/>
  <c r="V498" i="5"/>
  <c r="U382" i="5"/>
  <c r="V382" i="5"/>
  <c r="U356" i="5"/>
  <c r="V356" i="5"/>
  <c r="U252" i="5"/>
  <c r="V252" i="5"/>
  <c r="U125" i="5"/>
  <c r="V125" i="5"/>
  <c r="V487" i="5"/>
  <c r="U487" i="5"/>
  <c r="V451" i="5"/>
  <c r="U451" i="5"/>
  <c r="U354" i="5"/>
  <c r="V354" i="5"/>
  <c r="U249" i="5"/>
  <c r="V249" i="5"/>
  <c r="V151" i="5"/>
  <c r="U151" i="5"/>
  <c r="U74" i="5"/>
  <c r="V74" i="5"/>
  <c r="V26" i="5"/>
  <c r="U26" i="5"/>
  <c r="U87" i="5"/>
  <c r="V87" i="5"/>
  <c r="AN292" i="5"/>
  <c r="AO292" i="5"/>
  <c r="V546" i="5"/>
  <c r="U546" i="5"/>
  <c r="AO456" i="5"/>
  <c r="AN456" i="5"/>
  <c r="AO255" i="5"/>
  <c r="AN255" i="5"/>
  <c r="AO229" i="5"/>
  <c r="AN229" i="5"/>
  <c r="U472" i="5"/>
  <c r="V472" i="5"/>
  <c r="U464" i="5"/>
  <c r="V464" i="5"/>
  <c r="U550" i="5"/>
  <c r="V550" i="5"/>
  <c r="U375" i="5"/>
  <c r="V375" i="5"/>
  <c r="U37" i="5"/>
  <c r="V37" i="5"/>
  <c r="U403" i="5"/>
  <c r="V403" i="5"/>
  <c r="U377" i="5"/>
  <c r="V377" i="5"/>
  <c r="V161" i="5"/>
  <c r="U161" i="5"/>
  <c r="U91" i="5"/>
  <c r="V91" i="5"/>
  <c r="U280" i="5"/>
  <c r="V280" i="5"/>
  <c r="AP229" i="5"/>
  <c r="AR229" i="5" s="1"/>
  <c r="AP131" i="5"/>
  <c r="AQ131" i="5" s="1"/>
  <c r="AP94" i="5"/>
  <c r="AQ94" i="5" s="1"/>
  <c r="AP274" i="5"/>
  <c r="AQ274" i="5" s="1"/>
  <c r="AP79" i="5"/>
  <c r="AR79" i="5" s="1"/>
  <c r="AP127" i="5"/>
  <c r="AR127" i="5" s="1"/>
  <c r="AM68" i="4"/>
  <c r="AN68" i="4" s="1"/>
  <c r="W68" i="4"/>
  <c r="AO95" i="5"/>
  <c r="AN95" i="5"/>
  <c r="AN202" i="5"/>
  <c r="AO202" i="5"/>
  <c r="AO350" i="5"/>
  <c r="AN350" i="5"/>
  <c r="AN351" i="5"/>
  <c r="AO351" i="5"/>
  <c r="AO517" i="5"/>
  <c r="AN517" i="5"/>
  <c r="AN345" i="5"/>
  <c r="AO345" i="5"/>
  <c r="AO483" i="5"/>
  <c r="AN483" i="5"/>
  <c r="AN364" i="5"/>
  <c r="AO364" i="5"/>
  <c r="AN244" i="5"/>
  <c r="AO244" i="5"/>
  <c r="AN502" i="5"/>
  <c r="AO502" i="5"/>
  <c r="AO247" i="5"/>
  <c r="AN247" i="5"/>
  <c r="AN559" i="5"/>
  <c r="AO559" i="5"/>
  <c r="AN315" i="5"/>
  <c r="AO315" i="5"/>
  <c r="AN77" i="5"/>
  <c r="AO77" i="5"/>
  <c r="AN468" i="5"/>
  <c r="AO468" i="5"/>
  <c r="AN323" i="5"/>
  <c r="AO323" i="5"/>
  <c r="AN52" i="5"/>
  <c r="AO52" i="5"/>
  <c r="AO414" i="5"/>
  <c r="AN414" i="5"/>
  <c r="AN170" i="5"/>
  <c r="AO170" i="5"/>
  <c r="AN317" i="5"/>
  <c r="AO317" i="5"/>
  <c r="AO74" i="5"/>
  <c r="AN74" i="5"/>
  <c r="U352" i="5"/>
  <c r="V352" i="5"/>
  <c r="AN440" i="5"/>
  <c r="AO440" i="5"/>
  <c r="AN203" i="5"/>
  <c r="AO203" i="5"/>
  <c r="U272" i="5"/>
  <c r="V272" i="5"/>
  <c r="U424" i="5"/>
  <c r="V424" i="5"/>
  <c r="AM77" i="4"/>
  <c r="AN77" i="4" s="1"/>
  <c r="W77" i="4"/>
  <c r="X77" i="4" s="1"/>
  <c r="AM150" i="4"/>
  <c r="AN150" i="4" s="1"/>
  <c r="W150" i="4"/>
  <c r="X150" i="4" s="1"/>
  <c r="AJ150" i="4" s="1"/>
  <c r="V304" i="5"/>
  <c r="U304" i="5"/>
  <c r="V208" i="5"/>
  <c r="U208" i="5"/>
  <c r="AN464" i="5"/>
  <c r="AO464" i="5"/>
  <c r="AM23" i="4"/>
  <c r="AN23" i="4" s="1"/>
  <c r="W23" i="4"/>
  <c r="AO107" i="5"/>
  <c r="AN107" i="5"/>
  <c r="V160" i="5"/>
  <c r="U160" i="5"/>
  <c r="AO99" i="5"/>
  <c r="AN99" i="5"/>
  <c r="AM8" i="4"/>
  <c r="AN8" i="4" s="1"/>
  <c r="W8" i="4"/>
  <c r="U536" i="5"/>
  <c r="V536" i="5"/>
  <c r="V273" i="5"/>
  <c r="U273" i="5"/>
  <c r="U146" i="5"/>
  <c r="V146" i="5"/>
  <c r="U221" i="5"/>
  <c r="V221" i="5"/>
  <c r="U419" i="5"/>
  <c r="V419" i="5"/>
  <c r="V553" i="5"/>
  <c r="U553" i="5"/>
  <c r="V539" i="5"/>
  <c r="U539" i="5"/>
  <c r="V523" i="5"/>
  <c r="U523" i="5"/>
  <c r="V482" i="5"/>
  <c r="U482" i="5"/>
  <c r="U447" i="5"/>
  <c r="V447" i="5"/>
  <c r="U387" i="5"/>
  <c r="V387" i="5"/>
  <c r="V237" i="5"/>
  <c r="U237" i="5"/>
  <c r="U79" i="5"/>
  <c r="V79" i="5"/>
  <c r="V520" i="5"/>
  <c r="U520" i="5"/>
  <c r="U477" i="5"/>
  <c r="V477" i="5"/>
  <c r="U324" i="5"/>
  <c r="V324" i="5"/>
  <c r="V381" i="5"/>
  <c r="U381" i="5"/>
  <c r="V284" i="5"/>
  <c r="U284" i="5"/>
  <c r="V186" i="5"/>
  <c r="U186" i="5"/>
  <c r="U509" i="5"/>
  <c r="V509" i="5"/>
  <c r="U473" i="5"/>
  <c r="V473" i="5"/>
  <c r="U508" i="5"/>
  <c r="V508" i="5"/>
  <c r="V410" i="5"/>
  <c r="U410" i="5"/>
  <c r="U276" i="5"/>
  <c r="V276" i="5"/>
  <c r="V185" i="5"/>
  <c r="U185" i="5"/>
  <c r="U559" i="5"/>
  <c r="V559" i="5"/>
  <c r="U439" i="5"/>
  <c r="V439" i="5"/>
  <c r="U466" i="5"/>
  <c r="V466" i="5"/>
  <c r="V367" i="5"/>
  <c r="U367" i="5"/>
  <c r="U266" i="5"/>
  <c r="V266" i="5"/>
  <c r="V183" i="5"/>
  <c r="U183" i="5"/>
  <c r="U471" i="5"/>
  <c r="V471" i="5"/>
  <c r="V353" i="5"/>
  <c r="U353" i="5"/>
  <c r="V262" i="5"/>
  <c r="U262" i="5"/>
  <c r="U180" i="5"/>
  <c r="V180" i="5"/>
  <c r="U109" i="5"/>
  <c r="V109" i="5"/>
  <c r="V544" i="5"/>
  <c r="U544" i="5"/>
  <c r="V468" i="5"/>
  <c r="U468" i="5"/>
  <c r="V348" i="5"/>
  <c r="U348" i="5"/>
  <c r="U293" i="5"/>
  <c r="V293" i="5"/>
  <c r="V230" i="5"/>
  <c r="U230" i="5"/>
  <c r="V156" i="5"/>
  <c r="U156" i="5"/>
  <c r="U461" i="5"/>
  <c r="V461" i="5"/>
  <c r="V379" i="5"/>
  <c r="U379" i="5"/>
  <c r="V310" i="5"/>
  <c r="U310" i="5"/>
  <c r="U225" i="5"/>
  <c r="V225" i="5"/>
  <c r="U155" i="5"/>
  <c r="V155" i="5"/>
  <c r="V59" i="5"/>
  <c r="U59" i="5"/>
  <c r="U121" i="5"/>
  <c r="V121" i="5"/>
  <c r="V105" i="5"/>
  <c r="U105" i="5"/>
  <c r="AO91" i="5"/>
  <c r="AN91" i="5"/>
  <c r="V554" i="5"/>
  <c r="U554" i="5"/>
  <c r="AN34" i="5"/>
  <c r="AO34" i="5"/>
  <c r="AO46" i="5"/>
  <c r="AN46" i="5"/>
  <c r="AN411" i="5"/>
  <c r="AO411" i="5"/>
  <c r="AO535" i="5"/>
  <c r="AN535" i="5"/>
  <c r="U150" i="5"/>
  <c r="V150" i="5"/>
  <c r="U245" i="5"/>
  <c r="V245" i="5"/>
  <c r="V93" i="5"/>
  <c r="U93" i="5"/>
  <c r="U222" i="5"/>
  <c r="V222" i="5"/>
  <c r="U191" i="5"/>
  <c r="V191" i="5"/>
  <c r="V282" i="5"/>
  <c r="U282" i="5"/>
  <c r="V364" i="5"/>
  <c r="U364" i="5"/>
  <c r="U525" i="5"/>
  <c r="V525" i="5"/>
  <c r="V318" i="5"/>
  <c r="U318" i="5"/>
  <c r="U43" i="5"/>
  <c r="V43" i="5"/>
  <c r="AP232" i="5"/>
  <c r="AQ232" i="5" s="1"/>
  <c r="AP381" i="5"/>
  <c r="AQ381" i="5" s="1"/>
  <c r="AP255" i="5"/>
  <c r="AQ255" i="5" s="1"/>
  <c r="AP531" i="5"/>
  <c r="AQ531" i="5" s="1"/>
  <c r="AP210" i="5"/>
  <c r="AQ210" i="5" s="1"/>
  <c r="AP360" i="5"/>
  <c r="AR360" i="5" s="1"/>
  <c r="AP216" i="5"/>
  <c r="AQ216" i="5" s="1"/>
  <c r="AP30" i="5"/>
  <c r="AR30" i="5" s="1"/>
  <c r="AP140" i="5"/>
  <c r="AR140" i="5" s="1"/>
  <c r="AO501" i="5"/>
  <c r="AN501" i="5"/>
  <c r="AN548" i="5"/>
  <c r="AO548" i="5"/>
  <c r="AO187" i="5"/>
  <c r="AN187" i="5"/>
  <c r="AN119" i="5"/>
  <c r="AO119" i="5"/>
  <c r="AN509" i="5"/>
  <c r="AO509" i="5"/>
  <c r="AN339" i="5"/>
  <c r="AO339" i="5"/>
  <c r="AO544" i="5"/>
  <c r="AN544" i="5"/>
  <c r="AO402" i="5"/>
  <c r="AN402" i="5"/>
  <c r="AO230" i="5"/>
  <c r="AN230" i="5"/>
  <c r="AN443" i="5"/>
  <c r="AO443" i="5"/>
  <c r="AN246" i="5"/>
  <c r="AO246" i="5"/>
  <c r="AN297" i="5"/>
  <c r="AO297" i="5"/>
  <c r="AO241" i="5"/>
  <c r="AN241" i="5"/>
  <c r="AN63" i="5"/>
  <c r="AO63" i="5"/>
  <c r="AN515" i="5"/>
  <c r="AO515" i="5"/>
  <c r="AN191" i="5"/>
  <c r="AO191" i="5"/>
  <c r="AN37" i="5"/>
  <c r="AO37" i="5"/>
  <c r="AO218" i="5"/>
  <c r="AN218" i="5"/>
  <c r="AN117" i="5"/>
  <c r="AO117" i="5"/>
  <c r="AO291" i="5"/>
  <c r="AN291" i="5"/>
  <c r="AO75" i="5"/>
  <c r="AN75" i="5"/>
  <c r="AM157" i="4"/>
  <c r="W157" i="4"/>
  <c r="X157" i="4" s="1"/>
  <c r="U192" i="5"/>
  <c r="V192" i="5"/>
  <c r="U232" i="5"/>
  <c r="V232" i="5"/>
  <c r="AN336" i="5"/>
  <c r="AO336" i="5"/>
  <c r="AN227" i="5"/>
  <c r="AO227" i="5"/>
  <c r="AN121" i="5"/>
  <c r="AO121" i="5"/>
  <c r="AN184" i="5"/>
  <c r="AO184" i="5"/>
  <c r="AN123" i="5"/>
  <c r="AO123" i="5"/>
  <c r="U485" i="5"/>
  <c r="V485" i="5"/>
  <c r="V457" i="5"/>
  <c r="U457" i="5"/>
  <c r="V181" i="5"/>
  <c r="U181" i="5"/>
  <c r="V547" i="5"/>
  <c r="U547" i="5"/>
  <c r="U142" i="5"/>
  <c r="V142" i="5"/>
  <c r="U492" i="5"/>
  <c r="V492" i="5"/>
  <c r="V542" i="5"/>
  <c r="U542" i="5"/>
  <c r="U467" i="5"/>
  <c r="V467" i="5"/>
  <c r="V445" i="5"/>
  <c r="U445" i="5"/>
  <c r="U455" i="5"/>
  <c r="V455" i="5"/>
  <c r="U357" i="5"/>
  <c r="V357" i="5"/>
  <c r="V350" i="5"/>
  <c r="U350" i="5"/>
  <c r="V306" i="5"/>
  <c r="U306" i="5"/>
  <c r="U177" i="5"/>
  <c r="V177" i="5"/>
  <c r="U423" i="5"/>
  <c r="V423" i="5"/>
  <c r="V452" i="5"/>
  <c r="U452" i="5"/>
  <c r="U399" i="5"/>
  <c r="V399" i="5"/>
  <c r="U345" i="5"/>
  <c r="V345" i="5"/>
  <c r="U135" i="5"/>
  <c r="V135" i="5"/>
  <c r="V170" i="5"/>
  <c r="U170" i="5"/>
  <c r="U397" i="5"/>
  <c r="V397" i="5"/>
  <c r="U446" i="5"/>
  <c r="V446" i="5"/>
  <c r="V441" i="5"/>
  <c r="U441" i="5"/>
  <c r="V378" i="5"/>
  <c r="U378" i="5"/>
  <c r="U334" i="5"/>
  <c r="V334" i="5"/>
  <c r="V169" i="5"/>
  <c r="U169" i="5"/>
  <c r="U524" i="5"/>
  <c r="V524" i="5"/>
  <c r="U398" i="5"/>
  <c r="V398" i="5"/>
  <c r="U417" i="5"/>
  <c r="V417" i="5"/>
  <c r="V337" i="5"/>
  <c r="U337" i="5"/>
  <c r="V332" i="5"/>
  <c r="U332" i="5"/>
  <c r="U140" i="5"/>
  <c r="V140" i="5"/>
  <c r="U442" i="5"/>
  <c r="V442" i="5"/>
  <c r="U228" i="5"/>
  <c r="V228" i="5"/>
  <c r="V321" i="5"/>
  <c r="U321" i="5"/>
  <c r="V199" i="5"/>
  <c r="U199" i="5"/>
  <c r="V85" i="5"/>
  <c r="U85" i="5"/>
  <c r="U540" i="5"/>
  <c r="V540" i="5"/>
  <c r="U438" i="5"/>
  <c r="V438" i="5"/>
  <c r="U195" i="5"/>
  <c r="V195" i="5"/>
  <c r="U261" i="5"/>
  <c r="V261" i="5"/>
  <c r="V174" i="5"/>
  <c r="U174" i="5"/>
  <c r="V106" i="5"/>
  <c r="U106" i="5"/>
  <c r="U425" i="5"/>
  <c r="V425" i="5"/>
  <c r="V340" i="5"/>
  <c r="U340" i="5"/>
  <c r="V290" i="5"/>
  <c r="U290" i="5"/>
  <c r="U243" i="5"/>
  <c r="V243" i="5"/>
  <c r="U95" i="5"/>
  <c r="V95" i="5"/>
  <c r="U52" i="5"/>
  <c r="V52" i="5"/>
  <c r="U83" i="5"/>
  <c r="V83" i="5"/>
  <c r="V89" i="5"/>
  <c r="U89" i="5"/>
  <c r="AO307" i="5"/>
  <c r="AN307" i="5"/>
  <c r="AO104" i="5"/>
  <c r="AN104" i="5"/>
  <c r="AM108" i="4"/>
  <c r="AN108" i="4" s="1"/>
  <c r="W108" i="4"/>
  <c r="Y108" i="4" s="1"/>
  <c r="AO469" i="5"/>
  <c r="AN469" i="5"/>
  <c r="AN460" i="5"/>
  <c r="AO460" i="5"/>
  <c r="AO531" i="5"/>
  <c r="AN531" i="5"/>
  <c r="AO237" i="5"/>
  <c r="AN237" i="5"/>
  <c r="V538" i="5"/>
  <c r="U538" i="5"/>
  <c r="U516" i="5"/>
  <c r="V516" i="5"/>
  <c r="U351" i="5"/>
  <c r="V351" i="5"/>
  <c r="V513" i="5"/>
  <c r="U513" i="5"/>
  <c r="U475" i="5"/>
  <c r="V475" i="5"/>
  <c r="V371" i="5"/>
  <c r="U371" i="5"/>
  <c r="AP447" i="5"/>
  <c r="AQ447" i="5" s="1"/>
  <c r="AP181" i="5"/>
  <c r="AR181" i="5" s="1"/>
  <c r="AP517" i="5"/>
  <c r="AQ517" i="5" s="1"/>
  <c r="AP426" i="5"/>
  <c r="AQ426" i="5" s="1"/>
  <c r="AP312" i="5"/>
  <c r="AQ312" i="5" s="1"/>
  <c r="AP239" i="5"/>
  <c r="AR239" i="5" s="1"/>
  <c r="AP474" i="5"/>
  <c r="AQ474" i="5" s="1"/>
  <c r="AP296" i="5"/>
  <c r="AQ296" i="5" s="1"/>
  <c r="V152" i="5"/>
  <c r="U152" i="5"/>
  <c r="AO400" i="5"/>
  <c r="AN400" i="5"/>
  <c r="U488" i="5"/>
  <c r="V488" i="5"/>
  <c r="AO353" i="5"/>
  <c r="AN353" i="5"/>
  <c r="AN439" i="5"/>
  <c r="AO439" i="5"/>
  <c r="AO523" i="5"/>
  <c r="AN523" i="5"/>
  <c r="AN479" i="5"/>
  <c r="AO479" i="5"/>
  <c r="AN466" i="5"/>
  <c r="AO466" i="5"/>
  <c r="AN268" i="5"/>
  <c r="AO268" i="5"/>
  <c r="AO513" i="5"/>
  <c r="AN513" i="5"/>
  <c r="AO277" i="5"/>
  <c r="AN277" i="5"/>
  <c r="AN158" i="5"/>
  <c r="AO158" i="5"/>
  <c r="AO382" i="5"/>
  <c r="AN382" i="5"/>
  <c r="AO242" i="5"/>
  <c r="AN242" i="5"/>
  <c r="AO494" i="5"/>
  <c r="AN494" i="5"/>
  <c r="AO327" i="5"/>
  <c r="AN327" i="5"/>
  <c r="AO30" i="5"/>
  <c r="AN30" i="5"/>
  <c r="AN333" i="5"/>
  <c r="AO333" i="5"/>
  <c r="AN217" i="5"/>
  <c r="AO217" i="5"/>
  <c r="AN541" i="5"/>
  <c r="AO541" i="5"/>
  <c r="AN309" i="5"/>
  <c r="AO309" i="5"/>
  <c r="AO102" i="5"/>
  <c r="AN102" i="5"/>
  <c r="AN215" i="5"/>
  <c r="AO215" i="5"/>
  <c r="AO67" i="5"/>
  <c r="AN67" i="5"/>
  <c r="AM103" i="4"/>
  <c r="AN103" i="4" s="1"/>
  <c r="W103" i="4"/>
  <c r="V416" i="5"/>
  <c r="U416" i="5"/>
  <c r="AN153" i="5"/>
  <c r="AO153" i="5"/>
  <c r="V32" i="5"/>
  <c r="U32" i="5"/>
  <c r="W45" i="4"/>
  <c r="AM45" i="4"/>
  <c r="AN45" i="4" s="1"/>
  <c r="U360" i="5"/>
  <c r="V360" i="5"/>
  <c r="AO387" i="5"/>
  <c r="AN387" i="5"/>
  <c r="AM38" i="4"/>
  <c r="AN38" i="4" s="1"/>
  <c r="W38" i="4"/>
  <c r="U392" i="5"/>
  <c r="V392" i="5"/>
  <c r="V373" i="5"/>
  <c r="U373" i="5"/>
  <c r="U469" i="5"/>
  <c r="V469" i="5"/>
  <c r="V558" i="5"/>
  <c r="U558" i="5"/>
  <c r="U394" i="5"/>
  <c r="V394" i="5"/>
  <c r="V535" i="5"/>
  <c r="U535" i="5"/>
  <c r="U521" i="5"/>
  <c r="V521" i="5"/>
  <c r="U486" i="5"/>
  <c r="V486" i="5"/>
  <c r="U500" i="5"/>
  <c r="V500" i="5"/>
  <c r="U530" i="5"/>
  <c r="V530" i="5"/>
  <c r="V511" i="5"/>
  <c r="U511" i="5"/>
  <c r="V402" i="5"/>
  <c r="U402" i="5"/>
  <c r="U286" i="5"/>
  <c r="V286" i="5"/>
  <c r="U270" i="5"/>
  <c r="V270" i="5"/>
  <c r="U138" i="5"/>
  <c r="V138" i="5"/>
  <c r="V528" i="5"/>
  <c r="U528" i="5"/>
  <c r="U413" i="5"/>
  <c r="V413" i="5"/>
  <c r="U363" i="5"/>
  <c r="V363" i="5"/>
  <c r="V283" i="5"/>
  <c r="U283" i="5"/>
  <c r="V301" i="5"/>
  <c r="U301" i="5"/>
  <c r="V173" i="5"/>
  <c r="U173" i="5"/>
  <c r="U449" i="5"/>
  <c r="V449" i="5"/>
  <c r="U401" i="5"/>
  <c r="V401" i="5"/>
  <c r="V287" i="5"/>
  <c r="U287" i="5"/>
  <c r="V342" i="5"/>
  <c r="U342" i="5"/>
  <c r="U295" i="5"/>
  <c r="V295" i="5"/>
  <c r="V171" i="5"/>
  <c r="U171" i="5"/>
  <c r="V406" i="5"/>
  <c r="U406" i="5"/>
  <c r="U522" i="5"/>
  <c r="V522" i="5"/>
  <c r="U388" i="5"/>
  <c r="V388" i="5"/>
  <c r="U267" i="5"/>
  <c r="V267" i="5"/>
  <c r="V289" i="5"/>
  <c r="U289" i="5"/>
  <c r="V149" i="5"/>
  <c r="U149" i="5"/>
  <c r="U533" i="5"/>
  <c r="V533" i="5"/>
  <c r="V389" i="5"/>
  <c r="U389" i="5"/>
  <c r="U302" i="5"/>
  <c r="V302" i="5"/>
  <c r="U223" i="5"/>
  <c r="V223" i="5"/>
  <c r="U76" i="5"/>
  <c r="V76" i="5"/>
  <c r="V489" i="5"/>
  <c r="U489" i="5"/>
  <c r="U532" i="5"/>
  <c r="V532" i="5"/>
  <c r="V386" i="5"/>
  <c r="U386" i="5"/>
  <c r="V331" i="5"/>
  <c r="U331" i="5"/>
  <c r="U166" i="5"/>
  <c r="V166" i="5"/>
  <c r="U107" i="5"/>
  <c r="V107" i="5"/>
  <c r="V374" i="5"/>
  <c r="U374" i="5"/>
  <c r="U162" i="5"/>
  <c r="V162" i="5"/>
  <c r="U259" i="5"/>
  <c r="V259" i="5"/>
  <c r="V159" i="5"/>
  <c r="U159" i="5"/>
  <c r="V35" i="5"/>
  <c r="U35" i="5"/>
  <c r="U117" i="5"/>
  <c r="V117" i="5"/>
  <c r="U25" i="5"/>
  <c r="V25" i="5"/>
  <c r="U55" i="5"/>
  <c r="V55" i="5"/>
  <c r="AN379" i="5"/>
  <c r="AO379" i="5"/>
  <c r="V408" i="5"/>
  <c r="U408" i="5"/>
  <c r="AO193" i="5"/>
  <c r="AN193" i="5"/>
  <c r="B102" i="2"/>
  <c r="B103" i="2" s="1"/>
  <c r="B73" i="2"/>
  <c r="B157" i="2"/>
  <c r="B92" i="2"/>
  <c r="B142" i="2"/>
  <c r="AH139" i="4"/>
  <c r="AH83" i="4"/>
  <c r="AH110" i="4"/>
  <c r="AH130" i="4"/>
  <c r="AH118" i="4"/>
  <c r="AH45" i="4"/>
  <c r="AH108" i="4"/>
  <c r="AH19" i="4"/>
  <c r="AH81" i="4"/>
  <c r="AH113" i="4"/>
  <c r="AH17" i="4"/>
  <c r="AH26" i="4"/>
  <c r="AH80" i="4"/>
  <c r="AH41" i="4"/>
  <c r="AH13" i="4"/>
  <c r="AH62" i="4"/>
  <c r="AH82" i="4"/>
  <c r="AH32" i="4"/>
  <c r="AH124" i="4"/>
  <c r="AH58" i="4"/>
  <c r="AH146" i="4"/>
  <c r="AH156" i="4"/>
  <c r="AH33" i="4"/>
  <c r="AH154" i="4"/>
  <c r="AH150" i="4"/>
  <c r="AH147" i="4"/>
  <c r="AH136" i="4"/>
  <c r="AH78" i="4"/>
  <c r="AH121" i="4"/>
  <c r="AH64" i="4"/>
  <c r="AH137" i="4"/>
  <c r="AH135" i="4"/>
  <c r="AH152" i="4"/>
  <c r="AH104" i="4"/>
  <c r="AH114" i="4"/>
  <c r="AH98" i="4"/>
  <c r="AH112" i="4"/>
  <c r="AH88" i="4"/>
  <c r="AH86" i="4"/>
  <c r="AH47" i="4"/>
  <c r="AH143" i="4"/>
  <c r="AH126" i="4"/>
  <c r="AH93" i="4"/>
  <c r="AH92" i="4"/>
  <c r="AH51" i="4"/>
  <c r="AH89" i="4"/>
  <c r="AH119" i="4"/>
  <c r="AH50" i="4"/>
  <c r="AH120" i="4"/>
  <c r="AH40" i="4"/>
  <c r="AH69" i="4"/>
  <c r="AK55" i="5"/>
  <c r="AL55" i="5"/>
  <c r="AM51" i="4"/>
  <c r="AN51" i="4" s="1"/>
  <c r="W51" i="4"/>
  <c r="Y51" i="4" s="1"/>
  <c r="Z51" i="4" s="1"/>
  <c r="AL99" i="5"/>
  <c r="AK99" i="5"/>
  <c r="V7" i="5"/>
  <c r="U7" i="5"/>
  <c r="AM28" i="4"/>
  <c r="AN28" i="4" s="1"/>
  <c r="W28" i="4"/>
  <c r="Y28" i="4" s="1"/>
  <c r="Z28" i="4" s="1"/>
  <c r="AK240" i="5"/>
  <c r="AL240" i="5"/>
  <c r="AK455" i="5"/>
  <c r="AL455" i="5"/>
  <c r="AK411" i="5"/>
  <c r="AL411" i="5"/>
  <c r="AP411" i="5"/>
  <c r="AK464" i="5"/>
  <c r="AL464" i="5"/>
  <c r="AL71" i="5"/>
  <c r="AK71" i="5"/>
  <c r="AP71" i="5"/>
  <c r="AP167" i="5"/>
  <c r="AK167" i="5"/>
  <c r="AL167" i="5"/>
  <c r="AK435" i="5"/>
  <c r="AL435" i="5"/>
  <c r="AP435" i="5"/>
  <c r="AL233" i="5"/>
  <c r="AK233" i="5"/>
  <c r="AK276" i="5"/>
  <c r="AL276" i="5"/>
  <c r="AL386" i="5"/>
  <c r="AK386" i="5"/>
  <c r="AK375" i="5"/>
  <c r="AL375" i="5"/>
  <c r="AP375" i="5"/>
  <c r="AK285" i="5"/>
  <c r="AL285" i="5"/>
  <c r="AL362" i="5"/>
  <c r="AP362" i="5"/>
  <c r="AK362" i="5"/>
  <c r="AK229" i="5"/>
  <c r="AL229" i="5"/>
  <c r="AK49" i="5"/>
  <c r="AP49" i="5"/>
  <c r="AL49" i="5"/>
  <c r="AP518" i="5"/>
  <c r="AL518" i="5"/>
  <c r="AK518" i="5"/>
  <c r="AK363" i="5"/>
  <c r="AL363" i="5"/>
  <c r="AK185" i="5"/>
  <c r="AP185" i="5"/>
  <c r="AL185" i="5"/>
  <c r="AK471" i="5"/>
  <c r="AL471" i="5"/>
  <c r="AP471" i="5"/>
  <c r="AL470" i="5"/>
  <c r="AK470" i="5"/>
  <c r="AK255" i="5"/>
  <c r="AL255" i="5"/>
  <c r="AL92" i="5"/>
  <c r="AK92" i="5"/>
  <c r="AK472" i="5"/>
  <c r="AL472" i="5"/>
  <c r="AP472" i="5"/>
  <c r="AK348" i="5"/>
  <c r="AL348" i="5"/>
  <c r="AL238" i="5"/>
  <c r="AK238" i="5"/>
  <c r="AK29" i="5"/>
  <c r="AL29" i="5"/>
  <c r="AK443" i="5"/>
  <c r="AL443" i="5"/>
  <c r="AP443" i="5"/>
  <c r="AP292" i="5"/>
  <c r="AL292" i="5"/>
  <c r="AK292" i="5"/>
  <c r="AK80" i="5"/>
  <c r="AP80" i="5"/>
  <c r="AL80" i="5"/>
  <c r="AK532" i="5"/>
  <c r="AP532" i="5"/>
  <c r="AL532" i="5"/>
  <c r="AL387" i="5"/>
  <c r="AK387" i="5"/>
  <c r="AK243" i="5"/>
  <c r="AL243" i="5"/>
  <c r="AP243" i="5"/>
  <c r="AK75" i="5"/>
  <c r="AL75" i="5"/>
  <c r="AP75" i="5"/>
  <c r="AK62" i="5"/>
  <c r="AP62" i="5"/>
  <c r="AL62" i="5"/>
  <c r="AL526" i="5"/>
  <c r="AK526" i="5"/>
  <c r="AP526" i="5"/>
  <c r="AK388" i="5"/>
  <c r="AL388" i="5"/>
  <c r="AP388" i="5"/>
  <c r="AK237" i="5"/>
  <c r="AL237" i="5"/>
  <c r="AL28" i="5"/>
  <c r="AK28" i="5"/>
  <c r="AP28" i="5"/>
  <c r="AK523" i="5"/>
  <c r="AL523" i="5"/>
  <c r="AK316" i="5"/>
  <c r="AL316" i="5"/>
  <c r="AK236" i="5"/>
  <c r="AL236" i="5"/>
  <c r="AP236" i="5"/>
  <c r="AL125" i="5"/>
  <c r="AK125" i="5"/>
  <c r="AP125" i="5"/>
  <c r="AK452" i="5"/>
  <c r="AL452" i="5"/>
  <c r="AK428" i="5"/>
  <c r="AL428" i="5"/>
  <c r="AL252" i="5"/>
  <c r="AK252" i="5"/>
  <c r="AK156" i="5"/>
  <c r="AP156" i="5"/>
  <c r="AL156" i="5"/>
  <c r="AL46" i="5"/>
  <c r="AK46" i="5"/>
  <c r="AP46" i="5"/>
  <c r="AL508" i="5"/>
  <c r="AK508" i="5"/>
  <c r="AP508" i="5"/>
  <c r="AL412" i="5"/>
  <c r="AK412" i="5"/>
  <c r="AK177" i="5"/>
  <c r="AL177" i="5"/>
  <c r="AP177" i="5"/>
  <c r="AK110" i="5"/>
  <c r="AL110" i="5"/>
  <c r="AL42" i="5"/>
  <c r="AK42" i="5"/>
  <c r="AL502" i="5"/>
  <c r="AK502" i="5"/>
  <c r="AP502" i="5"/>
  <c r="AK346" i="5"/>
  <c r="AL346" i="5"/>
  <c r="AK189" i="5"/>
  <c r="AL189" i="5"/>
  <c r="AK68" i="5"/>
  <c r="AL68" i="5"/>
  <c r="AP68" i="5"/>
  <c r="AL251" i="5"/>
  <c r="AK251" i="5"/>
  <c r="AP251" i="5"/>
  <c r="AK102" i="5"/>
  <c r="AL102" i="5"/>
  <c r="AP102" i="5"/>
  <c r="AK26" i="5"/>
  <c r="AL26" i="5"/>
  <c r="AK479" i="5"/>
  <c r="AL479" i="5"/>
  <c r="AP479" i="5"/>
  <c r="AM53" i="4"/>
  <c r="AN53" i="4" s="1"/>
  <c r="W53" i="4"/>
  <c r="Y53" i="4" s="1"/>
  <c r="Z53" i="4" s="1"/>
  <c r="AF53" i="4" s="1"/>
  <c r="W120" i="4"/>
  <c r="Y120" i="4" s="1"/>
  <c r="AM120" i="4"/>
  <c r="AN120" i="4" s="1"/>
  <c r="AL369" i="5"/>
  <c r="AK369" i="5"/>
  <c r="AP369" i="5"/>
  <c r="AK376" i="5"/>
  <c r="AP376" i="5"/>
  <c r="AL376" i="5"/>
  <c r="AL95" i="5"/>
  <c r="AK95" i="5"/>
  <c r="AP95" i="5"/>
  <c r="AK351" i="5"/>
  <c r="AL351" i="5"/>
  <c r="AK152" i="5"/>
  <c r="AP152" i="5"/>
  <c r="AL152" i="5"/>
  <c r="AN7" i="5"/>
  <c r="AO7" i="5"/>
  <c r="AM90" i="4"/>
  <c r="AN90" i="4" s="1"/>
  <c r="W90" i="4"/>
  <c r="Y90" i="4" s="1"/>
  <c r="AM114" i="4"/>
  <c r="AN114" i="4" s="1"/>
  <c r="W114" i="4"/>
  <c r="Y114" i="4" s="1"/>
  <c r="Z114" i="4" s="1"/>
  <c r="AM113" i="4"/>
  <c r="AN113" i="4" s="1"/>
  <c r="W113" i="4"/>
  <c r="Y113" i="4" s="1"/>
  <c r="AK416" i="5"/>
  <c r="AL416" i="5"/>
  <c r="AP416" i="5"/>
  <c r="AI7" i="5"/>
  <c r="AH7" i="5"/>
  <c r="AP7" i="5"/>
  <c r="AP431" i="5"/>
  <c r="AL431" i="5"/>
  <c r="AK431" i="5"/>
  <c r="AL353" i="5"/>
  <c r="AK353" i="5"/>
  <c r="AP353" i="5"/>
  <c r="AK113" i="5"/>
  <c r="AL113" i="5"/>
  <c r="AK534" i="5"/>
  <c r="AL534" i="5"/>
  <c r="AP534" i="5"/>
  <c r="AL31" i="5"/>
  <c r="AK31" i="5"/>
  <c r="AH99" i="4"/>
  <c r="AH65" i="4"/>
  <c r="AL81" i="5"/>
  <c r="AK81" i="5"/>
  <c r="AK160" i="5"/>
  <c r="AL160" i="5"/>
  <c r="AK135" i="5"/>
  <c r="AL135" i="5"/>
  <c r="AH153" i="4"/>
  <c r="AP452" i="5"/>
  <c r="AK531" i="5"/>
  <c r="AL531" i="5"/>
  <c r="AP208" i="5"/>
  <c r="AK208" i="5"/>
  <c r="AL208" i="5"/>
  <c r="AK389" i="5"/>
  <c r="AL389" i="5"/>
  <c r="AK501" i="5"/>
  <c r="AP501" i="5"/>
  <c r="AL501" i="5"/>
  <c r="AL374" i="5"/>
  <c r="AK374" i="5"/>
  <c r="AP374" i="5"/>
  <c r="AL215" i="5"/>
  <c r="AK215" i="5"/>
  <c r="AP215" i="5"/>
  <c r="AL24" i="5"/>
  <c r="AK24" i="5"/>
  <c r="AK466" i="5"/>
  <c r="AL466" i="5"/>
  <c r="AL325" i="5"/>
  <c r="AP325" i="5"/>
  <c r="AK325" i="5"/>
  <c r="AK123" i="5"/>
  <c r="AL123" i="5"/>
  <c r="AP123" i="5"/>
  <c r="AP468" i="5"/>
  <c r="AK468" i="5"/>
  <c r="AL468" i="5"/>
  <c r="AK407" i="5"/>
  <c r="AL407" i="5"/>
  <c r="AP407" i="5"/>
  <c r="AK284" i="5"/>
  <c r="AL284" i="5"/>
  <c r="AK73" i="5"/>
  <c r="AL73" i="5"/>
  <c r="AP73" i="5"/>
  <c r="AL414" i="5"/>
  <c r="AK414" i="5"/>
  <c r="AP414" i="5"/>
  <c r="AL408" i="5"/>
  <c r="AK408" i="5"/>
  <c r="AP408" i="5"/>
  <c r="AK196" i="5"/>
  <c r="AL196" i="5"/>
  <c r="AP196" i="5"/>
  <c r="AK557" i="5"/>
  <c r="AL557" i="5"/>
  <c r="AK505" i="5"/>
  <c r="AL505" i="5"/>
  <c r="AP505" i="5"/>
  <c r="AL315" i="5"/>
  <c r="AK315" i="5"/>
  <c r="AP315" i="5"/>
  <c r="AL128" i="5"/>
  <c r="AK128" i="5"/>
  <c r="AK538" i="5"/>
  <c r="AL538" i="5"/>
  <c r="AP538" i="5"/>
  <c r="AL406" i="5"/>
  <c r="AK406" i="5"/>
  <c r="AK181" i="5"/>
  <c r="AL181" i="5"/>
  <c r="AL63" i="5"/>
  <c r="AK63" i="5"/>
  <c r="AP63" i="5"/>
  <c r="AK39" i="5"/>
  <c r="AL39" i="5"/>
  <c r="AP39" i="5"/>
  <c r="AK437" i="5"/>
  <c r="AL437" i="5"/>
  <c r="AK434" i="5"/>
  <c r="AL434" i="5"/>
  <c r="AK204" i="5"/>
  <c r="AL204" i="5"/>
  <c r="AP204" i="5"/>
  <c r="AK514" i="5"/>
  <c r="AL514" i="5"/>
  <c r="AP514" i="5"/>
  <c r="AK492" i="5"/>
  <c r="AL492" i="5"/>
  <c r="AL286" i="5"/>
  <c r="AK286" i="5"/>
  <c r="AL172" i="5"/>
  <c r="AK172" i="5"/>
  <c r="AP172" i="5"/>
  <c r="AK85" i="5"/>
  <c r="AL85" i="5"/>
  <c r="AP85" i="5"/>
  <c r="AK552" i="5"/>
  <c r="AL552" i="5"/>
  <c r="AL381" i="5"/>
  <c r="AK381" i="5"/>
  <c r="AL322" i="5"/>
  <c r="AP322" i="5"/>
  <c r="AK322" i="5"/>
  <c r="AK164" i="5"/>
  <c r="AL164" i="5"/>
  <c r="AK497" i="5"/>
  <c r="AL497" i="5"/>
  <c r="AL418" i="5"/>
  <c r="AK418" i="5"/>
  <c r="AL356" i="5"/>
  <c r="AK356" i="5"/>
  <c r="AK305" i="5"/>
  <c r="AL305" i="5"/>
  <c r="AK149" i="5"/>
  <c r="AL149" i="5"/>
  <c r="AP44" i="5"/>
  <c r="AK44" i="5"/>
  <c r="AL44" i="5"/>
  <c r="AL506" i="5"/>
  <c r="AK506" i="5"/>
  <c r="AK333" i="5"/>
  <c r="AL333" i="5"/>
  <c r="AL234" i="5"/>
  <c r="AK234" i="5"/>
  <c r="AL38" i="5"/>
  <c r="AK38" i="5"/>
  <c r="AL329" i="5"/>
  <c r="AK329" i="5"/>
  <c r="AP329" i="5"/>
  <c r="AL141" i="5"/>
  <c r="AK141" i="5"/>
  <c r="AK256" i="5"/>
  <c r="AL256" i="5"/>
  <c r="AK447" i="5"/>
  <c r="AL447" i="5"/>
  <c r="AL112" i="5"/>
  <c r="AK112" i="5"/>
  <c r="AM92" i="4"/>
  <c r="AN92" i="4" s="1"/>
  <c r="W92" i="4"/>
  <c r="Y92" i="4" s="1"/>
  <c r="Z92" i="4" s="1"/>
  <c r="AP164" i="5"/>
  <c r="AP305" i="5"/>
  <c r="AK459" i="5"/>
  <c r="AL459" i="5"/>
  <c r="AP459" i="5"/>
  <c r="AK88" i="5"/>
  <c r="AL88" i="5"/>
  <c r="AP88" i="5"/>
  <c r="AL541" i="5"/>
  <c r="AK541" i="5"/>
  <c r="AP541" i="5"/>
  <c r="AM50" i="4"/>
  <c r="AN50" i="4" s="1"/>
  <c r="W50" i="4"/>
  <c r="Y50" i="4" s="1"/>
  <c r="Z50" i="4" s="1"/>
  <c r="AL56" i="5"/>
  <c r="AK56" i="5"/>
  <c r="AL144" i="5"/>
  <c r="AK144" i="5"/>
  <c r="AK368" i="5"/>
  <c r="AL368" i="5"/>
  <c r="AK7" i="5"/>
  <c r="AL7" i="5"/>
  <c r="AM122" i="4"/>
  <c r="AN122" i="4" s="1"/>
  <c r="W122" i="4"/>
  <c r="Y122" i="4" s="1"/>
  <c r="Z122" i="4" s="1"/>
  <c r="AK525" i="5"/>
  <c r="AL525" i="5"/>
  <c r="AK489" i="5"/>
  <c r="AL489" i="5"/>
  <c r="AP489" i="5"/>
  <c r="AM89" i="4"/>
  <c r="AN89" i="4" s="1"/>
  <c r="W89" i="4"/>
  <c r="Y89" i="4" s="1"/>
  <c r="Z89" i="4" s="1"/>
  <c r="AF89" i="4" s="1"/>
  <c r="AM78" i="4"/>
  <c r="AN78" i="4" s="1"/>
  <c r="W78" i="4"/>
  <c r="Y78" i="4" s="1"/>
  <c r="Z78" i="4" s="1"/>
  <c r="AF78" i="4" s="1"/>
  <c r="AK89" i="5"/>
  <c r="AL89" i="5"/>
  <c r="AP399" i="5"/>
  <c r="AK399" i="5"/>
  <c r="AL399" i="5"/>
  <c r="AM119" i="4"/>
  <c r="AN119" i="4" s="1"/>
  <c r="W119" i="4"/>
  <c r="Y119" i="4" s="1"/>
  <c r="Z119" i="4" s="1"/>
  <c r="AK449" i="5"/>
  <c r="AL449" i="5"/>
  <c r="AK359" i="5"/>
  <c r="AL359" i="5"/>
  <c r="AM138" i="4"/>
  <c r="AN138" i="4" s="1"/>
  <c r="W138" i="4"/>
  <c r="Y138" i="4" s="1"/>
  <c r="AM36" i="4"/>
  <c r="AN36" i="4" s="1"/>
  <c r="W36" i="4"/>
  <c r="Y36" i="4" s="1"/>
  <c r="Z36" i="4" s="1"/>
  <c r="AF36" i="4" s="1"/>
  <c r="AP412" i="5"/>
  <c r="AK495" i="5"/>
  <c r="AL495" i="5"/>
  <c r="AK536" i="5"/>
  <c r="AL536" i="5"/>
  <c r="AL493" i="5"/>
  <c r="AK493" i="5"/>
  <c r="AL433" i="5"/>
  <c r="AP433" i="5"/>
  <c r="AK433" i="5"/>
  <c r="AL427" i="5"/>
  <c r="AP427" i="5"/>
  <c r="AK427" i="5"/>
  <c r="AK162" i="5"/>
  <c r="AL162" i="5"/>
  <c r="AL543" i="5"/>
  <c r="AK543" i="5"/>
  <c r="AP543" i="5"/>
  <c r="AP288" i="5"/>
  <c r="AL288" i="5"/>
  <c r="AK288" i="5"/>
  <c r="AK245" i="5"/>
  <c r="AL245" i="5"/>
  <c r="AK87" i="5"/>
  <c r="AL87" i="5"/>
  <c r="AL261" i="5"/>
  <c r="AK261" i="5"/>
  <c r="AK323" i="5"/>
  <c r="AL323" i="5"/>
  <c r="AP323" i="5"/>
  <c r="AL209" i="5"/>
  <c r="AK209" i="5"/>
  <c r="AP209" i="5"/>
  <c r="AK66" i="5"/>
  <c r="AL66" i="5"/>
  <c r="AK503" i="5"/>
  <c r="AL503" i="5"/>
  <c r="AP503" i="5"/>
  <c r="AL344" i="5"/>
  <c r="AP344" i="5"/>
  <c r="AK344" i="5"/>
  <c r="AL168" i="5"/>
  <c r="AK168" i="5"/>
  <c r="AP168" i="5"/>
  <c r="AL554" i="5"/>
  <c r="AK554" i="5"/>
  <c r="AP554" i="5"/>
  <c r="AK444" i="5"/>
  <c r="AL444" i="5"/>
  <c r="AK248" i="5"/>
  <c r="AL248" i="5"/>
  <c r="AP248" i="5"/>
  <c r="AL104" i="5"/>
  <c r="AK104" i="5"/>
  <c r="AK458" i="5"/>
  <c r="AL458" i="5"/>
  <c r="AL336" i="5"/>
  <c r="AK336" i="5"/>
  <c r="AP336" i="5"/>
  <c r="AK219" i="5"/>
  <c r="AL219" i="5"/>
  <c r="AL25" i="5"/>
  <c r="AK25" i="5"/>
  <c r="AK23" i="5"/>
  <c r="AL23" i="5"/>
  <c r="AL266" i="5"/>
  <c r="AK266" i="5"/>
  <c r="AP266" i="5"/>
  <c r="AK377" i="5"/>
  <c r="AL377" i="5"/>
  <c r="AP377" i="5"/>
  <c r="AP179" i="5"/>
  <c r="AK179" i="5"/>
  <c r="AL179" i="5"/>
  <c r="AL462" i="5"/>
  <c r="AK462" i="5"/>
  <c r="AK429" i="5"/>
  <c r="AL429" i="5"/>
  <c r="AP429" i="5"/>
  <c r="AL258" i="5"/>
  <c r="AK258" i="5"/>
  <c r="AK228" i="5"/>
  <c r="AL228" i="5"/>
  <c r="AP228" i="5"/>
  <c r="AL60" i="5"/>
  <c r="AK60" i="5"/>
  <c r="AP60" i="5"/>
  <c r="AK485" i="5"/>
  <c r="AL485" i="5"/>
  <c r="AK300" i="5"/>
  <c r="AL300" i="5"/>
  <c r="AK310" i="5"/>
  <c r="AL310" i="5"/>
  <c r="AP310" i="5"/>
  <c r="AL114" i="5"/>
  <c r="AP114" i="5"/>
  <c r="AK114" i="5"/>
  <c r="AK535" i="5"/>
  <c r="AL535" i="5"/>
  <c r="AK482" i="5"/>
  <c r="AL482" i="5"/>
  <c r="AP482" i="5"/>
  <c r="AL340" i="5"/>
  <c r="AK340" i="5"/>
  <c r="AP269" i="5"/>
  <c r="AK269" i="5"/>
  <c r="AL269" i="5"/>
  <c r="AL118" i="5"/>
  <c r="AK118" i="5"/>
  <c r="AK486" i="5"/>
  <c r="AL486" i="5"/>
  <c r="AL446" i="5"/>
  <c r="AK446" i="5"/>
  <c r="AP446" i="5"/>
  <c r="AK221" i="5"/>
  <c r="AL221" i="5"/>
  <c r="AP242" i="5"/>
  <c r="AK242" i="5"/>
  <c r="AL242" i="5"/>
  <c r="AL370" i="5"/>
  <c r="AK370" i="5"/>
  <c r="AL294" i="5"/>
  <c r="AK294" i="5"/>
  <c r="AK70" i="5"/>
  <c r="AL70" i="5"/>
  <c r="AK199" i="5"/>
  <c r="AL199" i="5"/>
  <c r="AP351" i="5"/>
  <c r="AM13" i="4"/>
  <c r="AN13" i="4" s="1"/>
  <c r="W13" i="4"/>
  <c r="Y13" i="4" s="1"/>
  <c r="Z13" i="4" s="1"/>
  <c r="AP286" i="5"/>
  <c r="AP523" i="5"/>
  <c r="AK155" i="5"/>
  <c r="AL155" i="5"/>
  <c r="AP155" i="5"/>
  <c r="B80" i="2"/>
  <c r="B143" i="2"/>
  <c r="B75" i="2"/>
  <c r="B108" i="2"/>
  <c r="B109" i="2" s="1"/>
  <c r="B98" i="2"/>
  <c r="AP55" i="5"/>
  <c r="AM82" i="4"/>
  <c r="AN82" i="4" s="1"/>
  <c r="AP221" i="5"/>
  <c r="AK224" i="5"/>
  <c r="AL224" i="5"/>
  <c r="AP224" i="5"/>
  <c r="AK223" i="5"/>
  <c r="AL223" i="5"/>
  <c r="AL35" i="5"/>
  <c r="AK35" i="5"/>
  <c r="AP35" i="5"/>
  <c r="AK97" i="5"/>
  <c r="AL97" i="5"/>
  <c r="AK367" i="5"/>
  <c r="AL367" i="5"/>
  <c r="AP367" i="5"/>
  <c r="AL107" i="5"/>
  <c r="AK107" i="5"/>
  <c r="AP107" i="5"/>
  <c r="AL328" i="5"/>
  <c r="AK328" i="5"/>
  <c r="AK183" i="5"/>
  <c r="AP183" i="5"/>
  <c r="AL183" i="5"/>
  <c r="AK439" i="5"/>
  <c r="AL439" i="5"/>
  <c r="AL32" i="5"/>
  <c r="AK32" i="5"/>
  <c r="AP32" i="5"/>
  <c r="AL303" i="5"/>
  <c r="AP303" i="5"/>
  <c r="AK303" i="5"/>
  <c r="W17" i="4"/>
  <c r="Y17" i="4" s="1"/>
  <c r="Z17" i="4" s="1"/>
  <c r="AM17" i="4"/>
  <c r="AN17" i="4" s="1"/>
  <c r="AK335" i="5"/>
  <c r="AL335" i="5"/>
  <c r="AL96" i="5"/>
  <c r="AK96" i="5"/>
  <c r="AL47" i="5"/>
  <c r="AK47" i="5"/>
  <c r="AM154" i="4"/>
  <c r="AN154" i="4" s="1"/>
  <c r="W154" i="4"/>
  <c r="Y154" i="4" s="1"/>
  <c r="Z154" i="4" s="1"/>
  <c r="AL265" i="5"/>
  <c r="AK265" i="5"/>
  <c r="AP265" i="5"/>
  <c r="AL121" i="5"/>
  <c r="AK121" i="5"/>
  <c r="AP423" i="5"/>
  <c r="AK423" i="5"/>
  <c r="AL423" i="5"/>
  <c r="AM99" i="4"/>
  <c r="AN99" i="4" s="1"/>
  <c r="W99" i="4"/>
  <c r="Y99" i="4" s="1"/>
  <c r="Z99" i="4" s="1"/>
  <c r="AM112" i="4"/>
  <c r="AN112" i="4" s="1"/>
  <c r="W112" i="4"/>
  <c r="Y112" i="4" s="1"/>
  <c r="Z112" i="4" s="1"/>
  <c r="AF112" i="4" s="1"/>
  <c r="AM65" i="4"/>
  <c r="AN65" i="4" s="1"/>
  <c r="W65" i="4"/>
  <c r="Y65" i="4" s="1"/>
  <c r="Z65" i="4" s="1"/>
  <c r="AM153" i="4"/>
  <c r="AN153" i="4" s="1"/>
  <c r="W153" i="4"/>
  <c r="Y153" i="4" s="1"/>
  <c r="Z153" i="4" s="1"/>
  <c r="AL201" i="5"/>
  <c r="AP201" i="5"/>
  <c r="AK201" i="5"/>
  <c r="AL306" i="5"/>
  <c r="AK306" i="5"/>
  <c r="AK400" i="5"/>
  <c r="AL400" i="5"/>
  <c r="AP400" i="5"/>
  <c r="AK212" i="5"/>
  <c r="AL212" i="5"/>
  <c r="AK520" i="5"/>
  <c r="AL520" i="5"/>
  <c r="AK365" i="5"/>
  <c r="AL365" i="5"/>
  <c r="AL178" i="5"/>
  <c r="AK178" i="5"/>
  <c r="AL475" i="5"/>
  <c r="AK475" i="5"/>
  <c r="AP475" i="5"/>
  <c r="AK476" i="5"/>
  <c r="AL476" i="5"/>
  <c r="AK268" i="5"/>
  <c r="AL268" i="5"/>
  <c r="AP268" i="5"/>
  <c r="AK98" i="5"/>
  <c r="AP98" i="5"/>
  <c r="AL98" i="5"/>
  <c r="AK491" i="5"/>
  <c r="AL491" i="5"/>
  <c r="AK364" i="5"/>
  <c r="AL364" i="5"/>
  <c r="AL244" i="5"/>
  <c r="AK244" i="5"/>
  <c r="AL30" i="5"/>
  <c r="AK30" i="5"/>
  <c r="AK450" i="5"/>
  <c r="AL450" i="5"/>
  <c r="AL304" i="5"/>
  <c r="AK304" i="5"/>
  <c r="AK86" i="5"/>
  <c r="AL86" i="5"/>
  <c r="AP86" i="5"/>
  <c r="AL549" i="5"/>
  <c r="AK549" i="5"/>
  <c r="AP549" i="5"/>
  <c r="AK391" i="5"/>
  <c r="AL391" i="5"/>
  <c r="AP391" i="5"/>
  <c r="AL247" i="5"/>
  <c r="AP247" i="5"/>
  <c r="AK247" i="5"/>
  <c r="AL76" i="5"/>
  <c r="AK76" i="5"/>
  <c r="AP76" i="5"/>
  <c r="AL393" i="5"/>
  <c r="AP393" i="5"/>
  <c r="AK393" i="5"/>
  <c r="AL390" i="5"/>
  <c r="AK390" i="5"/>
  <c r="AL182" i="5"/>
  <c r="AK182" i="5"/>
  <c r="AK137" i="5"/>
  <c r="AL137" i="5"/>
  <c r="AP137" i="5"/>
  <c r="AM13" i="5"/>
  <c r="T13" i="5"/>
  <c r="AG13" i="5"/>
  <c r="Q13" i="5"/>
  <c r="AJ13" i="5"/>
  <c r="W13" i="5"/>
  <c r="AK481" i="5"/>
  <c r="AL481" i="5"/>
  <c r="AP481" i="5"/>
  <c r="AK355" i="5"/>
  <c r="AL355" i="5"/>
  <c r="AK140" i="5"/>
  <c r="AL140" i="5"/>
  <c r="AL558" i="5"/>
  <c r="AK558" i="5"/>
  <c r="AK405" i="5"/>
  <c r="AL405" i="5"/>
  <c r="AL324" i="5"/>
  <c r="AK324" i="5"/>
  <c r="AK173" i="5"/>
  <c r="AL173" i="5"/>
  <c r="AK61" i="5"/>
  <c r="AL61" i="5"/>
  <c r="AP61" i="5"/>
  <c r="AK445" i="5"/>
  <c r="AL445" i="5"/>
  <c r="AP445" i="5"/>
  <c r="AL354" i="5"/>
  <c r="AK354" i="5"/>
  <c r="AK198" i="5"/>
  <c r="AL198" i="5"/>
  <c r="AP198" i="5"/>
  <c r="AL157" i="5"/>
  <c r="AK157" i="5"/>
  <c r="AL556" i="5"/>
  <c r="AK556" i="5"/>
  <c r="AL461" i="5"/>
  <c r="AK461" i="5"/>
  <c r="AK308" i="5"/>
  <c r="AP308" i="5"/>
  <c r="AL308" i="5"/>
  <c r="AK193" i="5"/>
  <c r="AP193" i="5"/>
  <c r="AL193" i="5"/>
  <c r="AP100" i="5"/>
  <c r="AK100" i="5"/>
  <c r="AL100" i="5"/>
  <c r="AL548" i="5"/>
  <c r="AK548" i="5"/>
  <c r="AL338" i="5"/>
  <c r="AK338" i="5"/>
  <c r="AL314" i="5"/>
  <c r="AK314" i="5"/>
  <c r="AL180" i="5"/>
  <c r="AK180" i="5"/>
  <c r="AP180" i="5"/>
  <c r="AK345" i="5"/>
  <c r="AL345" i="5"/>
  <c r="AL253" i="5"/>
  <c r="AK253" i="5"/>
  <c r="AP253" i="5"/>
  <c r="AK58" i="5"/>
  <c r="AL58" i="5"/>
  <c r="AP160" i="5"/>
  <c r="AP466" i="5"/>
  <c r="AL395" i="5"/>
  <c r="AP395" i="5"/>
  <c r="AK395" i="5"/>
  <c r="AP363" i="5"/>
  <c r="AK504" i="5"/>
  <c r="AL504" i="5"/>
  <c r="AP504" i="5"/>
  <c r="V12" i="5"/>
  <c r="U12" i="5"/>
  <c r="AK311" i="5"/>
  <c r="AP311" i="5"/>
  <c r="AL311" i="5"/>
  <c r="AM131" i="4"/>
  <c r="AN131" i="4" s="1"/>
  <c r="W131" i="4"/>
  <c r="Y131" i="4" s="1"/>
  <c r="AK111" i="5"/>
  <c r="AL111" i="5"/>
  <c r="AP111" i="5"/>
  <c r="AL40" i="5"/>
  <c r="AK40" i="5"/>
  <c r="AP40" i="5"/>
  <c r="AL280" i="5"/>
  <c r="AK280" i="5"/>
  <c r="AM124" i="4"/>
  <c r="AN124" i="4" s="1"/>
  <c r="W124" i="4"/>
  <c r="Y124" i="4" s="1"/>
  <c r="Z124" i="4" s="1"/>
  <c r="AP328" i="5"/>
  <c r="X7" i="5"/>
  <c r="Y7" i="5"/>
  <c r="AL119" i="5"/>
  <c r="AK119" i="5"/>
  <c r="AM42" i="4"/>
  <c r="AN42" i="4" s="1"/>
  <c r="W42" i="4"/>
  <c r="Y42" i="4" s="1"/>
  <c r="AK79" i="5"/>
  <c r="AL79" i="5"/>
  <c r="AL143" i="5"/>
  <c r="AK143" i="5"/>
  <c r="AK313" i="5"/>
  <c r="AL313" i="5"/>
  <c r="AK72" i="5"/>
  <c r="AL72" i="5"/>
  <c r="AL264" i="5"/>
  <c r="AK264" i="5"/>
  <c r="AK320" i="5"/>
  <c r="AP320" i="5"/>
  <c r="AL320" i="5"/>
  <c r="AL207" i="5"/>
  <c r="AK207" i="5"/>
  <c r="AP207" i="5"/>
  <c r="AL473" i="5"/>
  <c r="AK473" i="5"/>
  <c r="AP464" i="5"/>
  <c r="AL553" i="5"/>
  <c r="AK553" i="5"/>
  <c r="AH144" i="4"/>
  <c r="B105" i="2"/>
  <c r="B106" i="2" s="1"/>
  <c r="B74" i="2"/>
  <c r="B95" i="2"/>
  <c r="AL546" i="5"/>
  <c r="AK546" i="5"/>
  <c r="AP546" i="5"/>
  <c r="AK175" i="5"/>
  <c r="AL175" i="5"/>
  <c r="AK10" i="5"/>
  <c r="AL10" i="5"/>
  <c r="AL469" i="5"/>
  <c r="AP469" i="5"/>
  <c r="AK469" i="5"/>
  <c r="AK334" i="5"/>
  <c r="AP334" i="5"/>
  <c r="AL334" i="5"/>
  <c r="AL129" i="5"/>
  <c r="AK129" i="5"/>
  <c r="AK516" i="5"/>
  <c r="AL516" i="5"/>
  <c r="AK409" i="5"/>
  <c r="AL409" i="5"/>
  <c r="AP409" i="5"/>
  <c r="AK290" i="5"/>
  <c r="AL290" i="5"/>
  <c r="AK91" i="5"/>
  <c r="AL91" i="5"/>
  <c r="AL424" i="5"/>
  <c r="AK424" i="5"/>
  <c r="AP424" i="5"/>
  <c r="AK419" i="5"/>
  <c r="AL419" i="5"/>
  <c r="AK124" i="5"/>
  <c r="AL124" i="5"/>
  <c r="AP124" i="5"/>
  <c r="AK474" i="5"/>
  <c r="AL474" i="5"/>
  <c r="AK511" i="5"/>
  <c r="AL511" i="5"/>
  <c r="AP511" i="5"/>
  <c r="AK332" i="5"/>
  <c r="AL332" i="5"/>
  <c r="AL146" i="5"/>
  <c r="AK146" i="5"/>
  <c r="AL540" i="5"/>
  <c r="AK540" i="5"/>
  <c r="AK415" i="5"/>
  <c r="AL415" i="5"/>
  <c r="AP415" i="5"/>
  <c r="AK192" i="5"/>
  <c r="AL192" i="5"/>
  <c r="AL69" i="5"/>
  <c r="AK69" i="5"/>
  <c r="AL494" i="5"/>
  <c r="AK494" i="5"/>
  <c r="AL296" i="5"/>
  <c r="AK296" i="5"/>
  <c r="AL154" i="5"/>
  <c r="AK154" i="5"/>
  <c r="AK151" i="5"/>
  <c r="AL151" i="5"/>
  <c r="AP151" i="5"/>
  <c r="AP19" i="5"/>
  <c r="AL19" i="5"/>
  <c r="AK19" i="5"/>
  <c r="AK373" i="5"/>
  <c r="AL373" i="5"/>
  <c r="AP373" i="5"/>
  <c r="AL267" i="5"/>
  <c r="AK267" i="5"/>
  <c r="AK134" i="5"/>
  <c r="AL134" i="5"/>
  <c r="AK490" i="5"/>
  <c r="AP490" i="5"/>
  <c r="AL490" i="5"/>
  <c r="AK382" i="5"/>
  <c r="AL382" i="5"/>
  <c r="AL301" i="5"/>
  <c r="AK301" i="5"/>
  <c r="AK166" i="5"/>
  <c r="AL166" i="5"/>
  <c r="AK52" i="5"/>
  <c r="AL52" i="5"/>
  <c r="AP52" i="5"/>
  <c r="AK421" i="5"/>
  <c r="AL421" i="5"/>
  <c r="AK413" i="5"/>
  <c r="AP413" i="5"/>
  <c r="AL413" i="5"/>
  <c r="AL197" i="5"/>
  <c r="AK197" i="5"/>
  <c r="AP197" i="5"/>
  <c r="AL130" i="5"/>
  <c r="AK130" i="5"/>
  <c r="AK547" i="5"/>
  <c r="AP547" i="5"/>
  <c r="AL547" i="5"/>
  <c r="AP385" i="5"/>
  <c r="AK385" i="5"/>
  <c r="AL385" i="5"/>
  <c r="AL277" i="5"/>
  <c r="AK277" i="5"/>
  <c r="AP277" i="5"/>
  <c r="AK222" i="5"/>
  <c r="AL222" i="5"/>
  <c r="AL109" i="5"/>
  <c r="AK109" i="5"/>
  <c r="AL528" i="5"/>
  <c r="AK528" i="5"/>
  <c r="AK396" i="5"/>
  <c r="AL396" i="5"/>
  <c r="AP254" i="5"/>
  <c r="AK254" i="5"/>
  <c r="AL254" i="5"/>
  <c r="AK133" i="5"/>
  <c r="AL133" i="5"/>
  <c r="AL246" i="5"/>
  <c r="AK246" i="5"/>
  <c r="AP246" i="5"/>
  <c r="AK241" i="5"/>
  <c r="AL241" i="5"/>
  <c r="AP241" i="5"/>
  <c r="AK65" i="5"/>
  <c r="AL65" i="5"/>
  <c r="AP128" i="5"/>
  <c r="AK384" i="5"/>
  <c r="AL384" i="5"/>
  <c r="AP553" i="5"/>
  <c r="AP121" i="5"/>
  <c r="AP154" i="5"/>
  <c r="AP149" i="5"/>
  <c r="AL203" i="5"/>
  <c r="AP203" i="5"/>
  <c r="AK203" i="5"/>
  <c r="AL176" i="5"/>
  <c r="AK176" i="5"/>
  <c r="AP256" i="5"/>
  <c r="AK448" i="5"/>
  <c r="AL448" i="5"/>
  <c r="AL263" i="5"/>
  <c r="AK263" i="5"/>
  <c r="AP263" i="5"/>
  <c r="AP316" i="5"/>
  <c r="AP285" i="5"/>
  <c r="AP294" i="5"/>
  <c r="AP115" i="5"/>
  <c r="AK115" i="5"/>
  <c r="AL115" i="5"/>
  <c r="AL339" i="5"/>
  <c r="AP339" i="5"/>
  <c r="AK339" i="5"/>
  <c r="AL360" i="5"/>
  <c r="AK360" i="5"/>
  <c r="AK127" i="5"/>
  <c r="AL127" i="5"/>
  <c r="AK83" i="5"/>
  <c r="AL83" i="5"/>
  <c r="AP83" i="5"/>
  <c r="AK48" i="5"/>
  <c r="AL48" i="5"/>
  <c r="AP240" i="5"/>
  <c r="AK488" i="5"/>
  <c r="AL488" i="5"/>
  <c r="AM147" i="4"/>
  <c r="AN147" i="4" s="1"/>
  <c r="W147" i="4"/>
  <c r="Y147" i="4" s="1"/>
  <c r="Z147" i="4" s="1"/>
  <c r="AP113" i="5"/>
  <c r="AP96" i="5"/>
  <c r="AK216" i="5"/>
  <c r="AL216" i="5"/>
  <c r="AK271" i="5"/>
  <c r="AL271" i="5"/>
  <c r="AP271" i="5"/>
  <c r="AK430" i="5"/>
  <c r="AL430" i="5"/>
  <c r="AP430" i="5"/>
  <c r="AL456" i="5"/>
  <c r="AK456" i="5"/>
  <c r="AP456" i="5"/>
  <c r="AL545" i="5"/>
  <c r="AK545" i="5"/>
  <c r="AL361" i="5"/>
  <c r="AK361" i="5"/>
  <c r="AP361" i="5"/>
  <c r="AK260" i="5"/>
  <c r="AL260" i="5"/>
  <c r="AK122" i="5"/>
  <c r="AL122" i="5"/>
  <c r="AP122" i="5"/>
  <c r="AP279" i="5"/>
  <c r="AL279" i="5"/>
  <c r="AK279" i="5"/>
  <c r="AL343" i="5"/>
  <c r="AK343" i="5"/>
  <c r="AP343" i="5"/>
  <c r="AK220" i="5"/>
  <c r="AL220" i="5"/>
  <c r="AP220" i="5"/>
  <c r="AK27" i="5"/>
  <c r="AL27" i="5"/>
  <c r="AP27" i="5"/>
  <c r="AK513" i="5"/>
  <c r="AL513" i="5"/>
  <c r="AP513" i="5"/>
  <c r="AK350" i="5"/>
  <c r="AL350" i="5"/>
  <c r="AP174" i="5"/>
  <c r="AK174" i="5"/>
  <c r="AL174" i="5"/>
  <c r="AL560" i="5"/>
  <c r="AK560" i="5"/>
  <c r="AK453" i="5"/>
  <c r="AL453" i="5"/>
  <c r="AP453" i="5"/>
  <c r="AK249" i="5"/>
  <c r="AL249" i="5"/>
  <c r="AP249" i="5"/>
  <c r="AK90" i="5"/>
  <c r="AL90" i="5"/>
  <c r="AP90" i="5"/>
  <c r="AL460" i="5"/>
  <c r="AK460" i="5"/>
  <c r="AL341" i="5"/>
  <c r="AK341" i="5"/>
  <c r="AK235" i="5"/>
  <c r="AL235" i="5"/>
  <c r="AP235" i="5"/>
  <c r="AL37" i="5"/>
  <c r="AK37" i="5"/>
  <c r="AL441" i="5"/>
  <c r="AK441" i="5"/>
  <c r="AP441" i="5"/>
  <c r="AK289" i="5"/>
  <c r="AL289" i="5"/>
  <c r="AP289" i="5"/>
  <c r="AK145" i="5"/>
  <c r="AL145" i="5"/>
  <c r="AP145" i="5"/>
  <c r="AL136" i="5"/>
  <c r="AP136" i="5"/>
  <c r="AK136" i="5"/>
  <c r="AK498" i="5"/>
  <c r="AL498" i="5"/>
  <c r="AP480" i="5"/>
  <c r="AL480" i="5"/>
  <c r="AK480" i="5"/>
  <c r="AL287" i="5"/>
  <c r="AK287" i="5"/>
  <c r="AK106" i="5"/>
  <c r="AL106" i="5"/>
  <c r="AP106" i="5"/>
  <c r="AK422" i="5"/>
  <c r="AL422" i="5"/>
  <c r="AL398" i="5"/>
  <c r="AK398" i="5"/>
  <c r="AK230" i="5"/>
  <c r="AL230" i="5"/>
  <c r="AP230" i="5"/>
  <c r="AK150" i="5"/>
  <c r="AL150" i="5"/>
  <c r="AP150" i="5"/>
  <c r="AK21" i="5"/>
  <c r="AL21" i="5"/>
  <c r="AK509" i="5"/>
  <c r="AL509" i="5"/>
  <c r="AP509" i="5"/>
  <c r="AL380" i="5"/>
  <c r="AK380" i="5"/>
  <c r="AK226" i="5"/>
  <c r="AL226" i="5"/>
  <c r="AK84" i="5"/>
  <c r="AL84" i="5"/>
  <c r="AP84" i="5"/>
  <c r="AK527" i="5"/>
  <c r="AL527" i="5"/>
  <c r="AL401" i="5"/>
  <c r="AP401" i="5"/>
  <c r="AK401" i="5"/>
  <c r="AK250" i="5"/>
  <c r="AL250" i="5"/>
  <c r="AK194" i="5"/>
  <c r="AL194" i="5"/>
  <c r="AK78" i="5"/>
  <c r="AL78" i="5"/>
  <c r="AP550" i="5"/>
  <c r="AK550" i="5"/>
  <c r="AL550" i="5"/>
  <c r="AK420" i="5"/>
  <c r="AL420" i="5"/>
  <c r="AK330" i="5"/>
  <c r="AL330" i="5"/>
  <c r="AL116" i="5"/>
  <c r="AK116" i="5"/>
  <c r="AP116" i="5"/>
  <c r="AK297" i="5"/>
  <c r="AL297" i="5"/>
  <c r="AP297" i="5"/>
  <c r="AK214" i="5"/>
  <c r="AL214" i="5"/>
  <c r="AK36" i="5"/>
  <c r="AP36" i="5"/>
  <c r="AL36" i="5"/>
  <c r="AK512" i="5"/>
  <c r="AL512" i="5"/>
  <c r="AP473" i="5"/>
  <c r="AP439" i="5"/>
  <c r="AP89" i="5"/>
  <c r="AP449" i="5"/>
  <c r="AP458" i="5"/>
  <c r="AL59" i="5"/>
  <c r="AK59" i="5"/>
  <c r="AP59" i="5"/>
  <c r="AK457" i="5"/>
  <c r="AL457" i="5"/>
  <c r="AL519" i="5"/>
  <c r="AK519" i="5"/>
  <c r="AP519" i="5"/>
  <c r="AK217" i="5"/>
  <c r="AL217" i="5"/>
  <c r="AK200" i="5"/>
  <c r="AL200" i="5"/>
  <c r="AP200" i="5"/>
  <c r="AM104" i="4"/>
  <c r="AN104" i="4" s="1"/>
  <c r="W104" i="4"/>
  <c r="Y104" i="4" s="1"/>
  <c r="Z104" i="4" s="1"/>
  <c r="AH107" i="4"/>
  <c r="AM156" i="4"/>
  <c r="AN156" i="4" s="1"/>
  <c r="W156" i="4"/>
  <c r="Y156" i="4" s="1"/>
  <c r="Z156" i="4" s="1"/>
  <c r="AK432" i="5"/>
  <c r="AL432" i="5"/>
  <c r="AP223" i="5"/>
  <c r="W107" i="4"/>
  <c r="Y107" i="4" s="1"/>
  <c r="Z107" i="4" s="1"/>
  <c r="AM107" i="4"/>
  <c r="AN107" i="4" s="1"/>
  <c r="AL8" i="5"/>
  <c r="AK8" i="5"/>
  <c r="AP280" i="5"/>
  <c r="S7" i="5"/>
  <c r="R7" i="5"/>
  <c r="W139" i="4"/>
  <c r="Y139" i="4" s="1"/>
  <c r="Z139" i="4" s="1"/>
  <c r="AM139" i="4"/>
  <c r="AN139" i="4" s="1"/>
  <c r="AH90" i="4"/>
  <c r="AL312" i="5"/>
  <c r="AK312" i="5"/>
  <c r="AK295" i="5"/>
  <c r="AL295" i="5"/>
  <c r="AP295" i="5"/>
  <c r="AP455" i="5"/>
  <c r="AL211" i="5"/>
  <c r="AK211" i="5"/>
  <c r="AL347" i="5"/>
  <c r="AK347" i="5"/>
  <c r="AP347" i="5"/>
  <c r="AM88" i="4"/>
  <c r="AN88" i="4" s="1"/>
  <c r="W88" i="4"/>
  <c r="Y88" i="4" s="1"/>
  <c r="Z88" i="4" s="1"/>
  <c r="AP8" i="5"/>
  <c r="AK327" i="5"/>
  <c r="AL327" i="5"/>
  <c r="AM151" i="4"/>
  <c r="AN151" i="4" s="1"/>
  <c r="W151" i="4"/>
  <c r="Y151" i="4" s="1"/>
  <c r="AP341" i="5"/>
  <c r="AL438" i="5"/>
  <c r="AK438" i="5"/>
  <c r="AK326" i="5"/>
  <c r="AL326" i="5"/>
  <c r="AL318" i="5"/>
  <c r="AK318" i="5"/>
  <c r="AL478" i="5"/>
  <c r="AK478" i="5"/>
  <c r="AP478" i="5"/>
  <c r="AL477" i="5"/>
  <c r="AK477" i="5"/>
  <c r="AK275" i="5"/>
  <c r="AL275" i="5"/>
  <c r="AP275" i="5"/>
  <c r="AK103" i="5"/>
  <c r="AL103" i="5"/>
  <c r="AL496" i="5"/>
  <c r="AK496" i="5"/>
  <c r="AP366" i="5"/>
  <c r="AK366" i="5"/>
  <c r="AL366" i="5"/>
  <c r="AK202" i="5"/>
  <c r="AL202" i="5"/>
  <c r="AK41" i="5"/>
  <c r="AL41" i="5"/>
  <c r="AP41" i="5"/>
  <c r="AK463" i="5"/>
  <c r="AL463" i="5"/>
  <c r="AL319" i="5"/>
  <c r="AK319" i="5"/>
  <c r="AP319" i="5"/>
  <c r="AL108" i="5"/>
  <c r="AK108" i="5"/>
  <c r="AP108" i="5"/>
  <c r="AL559" i="5"/>
  <c r="AK559" i="5"/>
  <c r="AP559" i="5"/>
  <c r="AK397" i="5"/>
  <c r="AL397" i="5"/>
  <c r="AL262" i="5"/>
  <c r="AK262" i="5"/>
  <c r="AK77" i="5"/>
  <c r="AL77" i="5"/>
  <c r="AK402" i="5"/>
  <c r="AL402" i="5"/>
  <c r="AK392" i="5"/>
  <c r="AL392" i="5"/>
  <c r="AK184" i="5"/>
  <c r="AL184" i="5"/>
  <c r="AL555" i="5"/>
  <c r="AP555" i="5"/>
  <c r="AK555" i="5"/>
  <c r="AL500" i="5"/>
  <c r="AP500" i="5"/>
  <c r="AK500" i="5"/>
  <c r="AK309" i="5"/>
  <c r="AP309" i="5"/>
  <c r="AL309" i="5"/>
  <c r="AL126" i="5"/>
  <c r="AK126" i="5"/>
  <c r="AK117" i="5"/>
  <c r="AL117" i="5"/>
  <c r="AK530" i="5"/>
  <c r="AL530" i="5"/>
  <c r="AK352" i="5"/>
  <c r="AL352" i="5"/>
  <c r="AP352" i="5"/>
  <c r="AK321" i="5"/>
  <c r="AL321" i="5"/>
  <c r="AK82" i="5"/>
  <c r="AL82" i="5"/>
  <c r="AL510" i="5"/>
  <c r="AK510" i="5"/>
  <c r="AK358" i="5"/>
  <c r="AL358" i="5"/>
  <c r="AP358" i="5"/>
  <c r="AL317" i="5"/>
  <c r="AK317" i="5"/>
  <c r="AP317" i="5"/>
  <c r="AL132" i="5"/>
  <c r="AP132" i="5"/>
  <c r="AK132" i="5"/>
  <c r="AL20" i="5"/>
  <c r="AK20" i="5"/>
  <c r="AL454" i="5"/>
  <c r="AK454" i="5"/>
  <c r="AK357" i="5"/>
  <c r="AL357" i="5"/>
  <c r="AP357" i="5"/>
  <c r="AL205" i="5"/>
  <c r="AK205" i="5"/>
  <c r="AK54" i="5"/>
  <c r="AL54" i="5"/>
  <c r="AP442" i="5"/>
  <c r="AK442" i="5"/>
  <c r="AL442" i="5"/>
  <c r="AK394" i="5"/>
  <c r="AL394" i="5"/>
  <c r="AL293" i="5"/>
  <c r="AK293" i="5"/>
  <c r="AP293" i="5"/>
  <c r="AK165" i="5"/>
  <c r="AL165" i="5"/>
  <c r="AL74" i="5"/>
  <c r="AP74" i="5"/>
  <c r="AK74" i="5"/>
  <c r="AL542" i="5"/>
  <c r="AK542" i="5"/>
  <c r="AK378" i="5"/>
  <c r="AL378" i="5"/>
  <c r="AL298" i="5"/>
  <c r="AK298" i="5"/>
  <c r="AP298" i="5"/>
  <c r="AK138" i="5"/>
  <c r="AL138" i="5"/>
  <c r="AK270" i="5"/>
  <c r="AL270" i="5"/>
  <c r="AL148" i="5"/>
  <c r="AK148" i="5"/>
  <c r="AK34" i="5"/>
  <c r="AL34" i="5"/>
  <c r="AP91" i="5"/>
  <c r="AK231" i="5"/>
  <c r="AL231" i="5"/>
  <c r="AP231" i="5"/>
  <c r="AP419" i="5"/>
  <c r="AP29" i="5"/>
  <c r="AP389" i="5"/>
  <c r="AP99" i="5"/>
  <c r="AK191" i="5"/>
  <c r="AL191" i="5"/>
  <c r="AP191" i="5"/>
  <c r="AP421" i="5"/>
  <c r="AP162" i="5"/>
  <c r="AK131" i="5"/>
  <c r="AL131" i="5"/>
  <c r="AK171" i="5"/>
  <c r="AP171" i="5"/>
  <c r="AL171" i="5"/>
  <c r="AL195" i="5"/>
  <c r="AK195" i="5"/>
  <c r="AP195" i="5"/>
  <c r="AK467" i="5"/>
  <c r="AL467" i="5"/>
  <c r="AP467" i="5"/>
  <c r="AK403" i="5"/>
  <c r="AL403" i="5"/>
  <c r="AP403" i="5"/>
  <c r="AL272" i="5"/>
  <c r="AK272" i="5"/>
  <c r="AP272" i="5"/>
  <c r="AL299" i="5"/>
  <c r="AK299" i="5"/>
  <c r="AK239" i="5"/>
  <c r="AL239" i="5"/>
  <c r="AL291" i="5"/>
  <c r="AK291" i="5"/>
  <c r="AK487" i="5"/>
  <c r="AL487" i="5"/>
  <c r="AK515" i="5"/>
  <c r="AL515" i="5"/>
  <c r="AP515" i="5"/>
  <c r="AP264" i="5"/>
  <c r="AM41" i="4"/>
  <c r="AN41" i="4" s="1"/>
  <c r="W41" i="4"/>
  <c r="Y41" i="4" s="1"/>
  <c r="Z41" i="4" s="1"/>
  <c r="AF41" i="4" s="1"/>
  <c r="AH36" i="4"/>
  <c r="AL163" i="5"/>
  <c r="AK163" i="5"/>
  <c r="AP163" i="5"/>
  <c r="AP97" i="5"/>
  <c r="AK507" i="5"/>
  <c r="AL507" i="5"/>
  <c r="AP507" i="5"/>
  <c r="AL524" i="5"/>
  <c r="AK524" i="5"/>
  <c r="AL210" i="5"/>
  <c r="AK210" i="5"/>
  <c r="AL522" i="5"/>
  <c r="AK522" i="5"/>
  <c r="AK410" i="5"/>
  <c r="AL410" i="5"/>
  <c r="AL302" i="5"/>
  <c r="AK302" i="5"/>
  <c r="AL67" i="5"/>
  <c r="AK67" i="5"/>
  <c r="AP67" i="5"/>
  <c r="AP425" i="5"/>
  <c r="AK425" i="5"/>
  <c r="AL425" i="5"/>
  <c r="AK426" i="5"/>
  <c r="AL426" i="5"/>
  <c r="AK142" i="5"/>
  <c r="AL142" i="5"/>
  <c r="AK529" i="5"/>
  <c r="AL529" i="5"/>
  <c r="AP529" i="5"/>
  <c r="AP537" i="5"/>
  <c r="AL537" i="5"/>
  <c r="AK537" i="5"/>
  <c r="AL190" i="5"/>
  <c r="AK190" i="5"/>
  <c r="AK161" i="5"/>
  <c r="AL161" i="5"/>
  <c r="AP161" i="5"/>
  <c r="AL544" i="5"/>
  <c r="AK544" i="5"/>
  <c r="AL259" i="5"/>
  <c r="AK259" i="5"/>
  <c r="AK206" i="5"/>
  <c r="AL206" i="5"/>
  <c r="AP206" i="5"/>
  <c r="AL53" i="5"/>
  <c r="AK53" i="5"/>
  <c r="AP53" i="5"/>
  <c r="AK499" i="5"/>
  <c r="AL499" i="5"/>
  <c r="AL337" i="5"/>
  <c r="AK337" i="5"/>
  <c r="AL139" i="5"/>
  <c r="AK139" i="5"/>
  <c r="AP139" i="5"/>
  <c r="AL551" i="5"/>
  <c r="AK551" i="5"/>
  <c r="AL440" i="5"/>
  <c r="AP440" i="5"/>
  <c r="AK440" i="5"/>
  <c r="AK331" i="5"/>
  <c r="AL331" i="5"/>
  <c r="AP331" i="5"/>
  <c r="AK94" i="5"/>
  <c r="AL94" i="5"/>
  <c r="AK93" i="5"/>
  <c r="AL93" i="5"/>
  <c r="AK404" i="5"/>
  <c r="AL404" i="5"/>
  <c r="AL372" i="5"/>
  <c r="AK372" i="5"/>
  <c r="AL232" i="5"/>
  <c r="AK232" i="5"/>
  <c r="AL57" i="5"/>
  <c r="AP57" i="5"/>
  <c r="AK57" i="5"/>
  <c r="AK436" i="5"/>
  <c r="AL436" i="5"/>
  <c r="AK274" i="5"/>
  <c r="AL274" i="5"/>
  <c r="AK278" i="5"/>
  <c r="AL278" i="5"/>
  <c r="AK158" i="5"/>
  <c r="AL158" i="5"/>
  <c r="AK22" i="5"/>
  <c r="AL22" i="5"/>
  <c r="AK484" i="5"/>
  <c r="AL484" i="5"/>
  <c r="AP484" i="5"/>
  <c r="AK282" i="5"/>
  <c r="AP282" i="5"/>
  <c r="AL282" i="5"/>
  <c r="AK170" i="5"/>
  <c r="AL170" i="5"/>
  <c r="AP170" i="5"/>
  <c r="AK45" i="5"/>
  <c r="AL45" i="5"/>
  <c r="AL417" i="5"/>
  <c r="AK417" i="5"/>
  <c r="AK349" i="5"/>
  <c r="AP349" i="5"/>
  <c r="AL349" i="5"/>
  <c r="AK257" i="5"/>
  <c r="AL257" i="5"/>
  <c r="AL186" i="5"/>
  <c r="AK186" i="5"/>
  <c r="AP186" i="5"/>
  <c r="AP50" i="5"/>
  <c r="AL50" i="5"/>
  <c r="AK50" i="5"/>
  <c r="AK517" i="5"/>
  <c r="AL517" i="5"/>
  <c r="AK342" i="5"/>
  <c r="AL342" i="5"/>
  <c r="AP342" i="5"/>
  <c r="AL218" i="5"/>
  <c r="AK218" i="5"/>
  <c r="AK101" i="5"/>
  <c r="AL101" i="5"/>
  <c r="AK213" i="5"/>
  <c r="AP213" i="5"/>
  <c r="AL213" i="5"/>
  <c r="AL188" i="5"/>
  <c r="AP188" i="5"/>
  <c r="AK188" i="5"/>
  <c r="AL33" i="5"/>
  <c r="AP33" i="5"/>
  <c r="AK33" i="5"/>
  <c r="AP31" i="5"/>
  <c r="AM32" i="4"/>
  <c r="AN32" i="4" s="1"/>
  <c r="W32" i="4"/>
  <c r="Y32" i="4" s="1"/>
  <c r="AP499" i="5"/>
  <c r="AK281" i="5"/>
  <c r="AL281" i="5"/>
  <c r="AK120" i="5"/>
  <c r="AL120" i="5"/>
  <c r="AP120" i="5"/>
  <c r="AK159" i="5"/>
  <c r="AL159" i="5"/>
  <c r="AK383" i="5"/>
  <c r="AL383" i="5"/>
  <c r="AK533" i="5"/>
  <c r="AL533" i="5"/>
  <c r="AP299" i="5"/>
  <c r="AM136" i="4" l="1"/>
  <c r="AN136" i="4" s="1"/>
  <c r="Z56" i="4"/>
  <c r="Z108" i="4"/>
  <c r="AM143" i="4"/>
  <c r="W149" i="4"/>
  <c r="Y149" i="4" s="1"/>
  <c r="Z149" i="4" s="1"/>
  <c r="AF149" i="4" s="1"/>
  <c r="AO149" i="4" s="1"/>
  <c r="Z138" i="4"/>
  <c r="W80" i="4"/>
  <c r="Y80" i="4" s="1"/>
  <c r="Z80" i="4" s="1"/>
  <c r="AM87" i="4"/>
  <c r="AN87" i="4" s="1"/>
  <c r="Z96" i="4"/>
  <c r="AF96" i="4" s="1"/>
  <c r="AO96" i="4" s="1"/>
  <c r="W81" i="4"/>
  <c r="Y81" i="4" s="1"/>
  <c r="Z81" i="4" s="1"/>
  <c r="X98" i="4"/>
  <c r="Z98" i="4"/>
  <c r="AF98" i="4" s="1"/>
  <c r="AO98" i="4" s="1"/>
  <c r="AE98" i="4"/>
  <c r="AM98" i="4"/>
  <c r="AN98" i="4" s="1"/>
  <c r="AN157" i="4"/>
  <c r="W55" i="4"/>
  <c r="Y55" i="4" s="1"/>
  <c r="Z55" i="4" s="1"/>
  <c r="AF55" i="4" s="1"/>
  <c r="AM25" i="4"/>
  <c r="AN25" i="4" s="1"/>
  <c r="W102" i="4"/>
  <c r="Y102" i="4" s="1"/>
  <c r="Z102" i="4" s="1"/>
  <c r="AF102" i="4" s="1"/>
  <c r="AO102" i="4" s="1"/>
  <c r="W60" i="4"/>
  <c r="Y60" i="4" s="1"/>
  <c r="W47" i="4"/>
  <c r="AE47" i="4" s="1"/>
  <c r="AM116" i="4"/>
  <c r="AN116" i="4" s="1"/>
  <c r="W44" i="4"/>
  <c r="Y44" i="4" s="1"/>
  <c r="Z44" i="4" s="1"/>
  <c r="AN12" i="5"/>
  <c r="Z25" i="4"/>
  <c r="AF25" i="4" s="1"/>
  <c r="AG25" i="4" s="1"/>
  <c r="AI25" i="4" s="1"/>
  <c r="W49" i="4"/>
  <c r="Y49" i="4" s="1"/>
  <c r="Z49" i="4" s="1"/>
  <c r="AF49" i="4" s="1"/>
  <c r="AO49" i="4" s="1"/>
  <c r="W111" i="4"/>
  <c r="Y111" i="4" s="1"/>
  <c r="Z111" i="4" s="1"/>
  <c r="AF111" i="4" s="1"/>
  <c r="AM11" i="4"/>
  <c r="AN11" i="4" s="1"/>
  <c r="AP12" i="5"/>
  <c r="AR12" i="5" s="1"/>
  <c r="AH12" i="5"/>
  <c r="Z31" i="4"/>
  <c r="AF31" i="4" s="1"/>
  <c r="AO31" i="4" s="1"/>
  <c r="W85" i="4"/>
  <c r="Y85" i="4" s="1"/>
  <c r="Z85" i="4" s="1"/>
  <c r="Z110" i="4"/>
  <c r="AF110" i="4" s="1"/>
  <c r="Z71" i="4"/>
  <c r="AF71" i="4" s="1"/>
  <c r="AG71" i="4" s="1"/>
  <c r="AI71" i="4" s="1"/>
  <c r="AM31" i="4"/>
  <c r="AN31" i="4" s="1"/>
  <c r="W100" i="4"/>
  <c r="AE100" i="4" s="1"/>
  <c r="AM110" i="4"/>
  <c r="AN110" i="4" s="1"/>
  <c r="AQ354" i="5"/>
  <c r="AQ169" i="5"/>
  <c r="AR270" i="5"/>
  <c r="AQ48" i="5"/>
  <c r="AR212" i="5"/>
  <c r="AR300" i="5"/>
  <c r="AQ47" i="5"/>
  <c r="AQ51" i="5"/>
  <c r="AR43" i="5"/>
  <c r="AQ350" i="5"/>
  <c r="AQ65" i="5"/>
  <c r="AQ346" i="5"/>
  <c r="AQ217" i="5"/>
  <c r="AR434" i="5"/>
  <c r="AQ187" i="5"/>
  <c r="AQ335" i="5"/>
  <c r="AR238" i="5"/>
  <c r="AR410" i="5"/>
  <c r="AQ380" i="5"/>
  <c r="AR216" i="5"/>
  <c r="AR199" i="5"/>
  <c r="AR290" i="5"/>
  <c r="AQ355" i="5"/>
  <c r="AR283" i="5"/>
  <c r="AL12" i="5"/>
  <c r="AK12" i="5"/>
  <c r="AQ133" i="5"/>
  <c r="AR205" i="5"/>
  <c r="AQ528" i="5"/>
  <c r="AR78" i="5"/>
  <c r="AQ214" i="5"/>
  <c r="AQ548" i="5"/>
  <c r="AQ222" i="5"/>
  <c r="AR148" i="5"/>
  <c r="AQ234" i="5"/>
  <c r="AQ396" i="5"/>
  <c r="R12" i="5"/>
  <c r="AR379" i="5"/>
  <c r="AR141" i="5"/>
  <c r="AQ24" i="5"/>
  <c r="AR129" i="5"/>
  <c r="AR252" i="5"/>
  <c r="AR558" i="5"/>
  <c r="AR324" i="5"/>
  <c r="AR348" i="5"/>
  <c r="AR418" i="5"/>
  <c r="AQ307" i="5"/>
  <c r="W29" i="4"/>
  <c r="Y29" i="4" s="1"/>
  <c r="Z29" i="4" s="1"/>
  <c r="AF29" i="4" s="1"/>
  <c r="AM86" i="4"/>
  <c r="AN86" i="4" s="1"/>
  <c r="Z74" i="4"/>
  <c r="AF74" i="4" s="1"/>
  <c r="AG74" i="4" s="1"/>
  <c r="AI74" i="4" s="1"/>
  <c r="AM74" i="4"/>
  <c r="AN74" i="4" s="1"/>
  <c r="W54" i="4"/>
  <c r="X54" i="4" s="1"/>
  <c r="AJ54" i="4" s="1"/>
  <c r="W9" i="4"/>
  <c r="Y9" i="4" s="1"/>
  <c r="Z9" i="4" s="1"/>
  <c r="AF9" i="4" s="1"/>
  <c r="AG9" i="4" s="1"/>
  <c r="AI9" i="4" s="1"/>
  <c r="W106" i="4"/>
  <c r="Y106" i="4" s="1"/>
  <c r="Z106" i="4" s="1"/>
  <c r="AF106" i="4" s="1"/>
  <c r="AO106" i="4" s="1"/>
  <c r="AJ73" i="4"/>
  <c r="AQ356" i="5"/>
  <c r="AR371" i="5"/>
  <c r="AR516" i="5"/>
  <c r="AQ281" i="5"/>
  <c r="AR386" i="5"/>
  <c r="AR338" i="5"/>
  <c r="AR492" i="5"/>
  <c r="AR64" i="5"/>
  <c r="Z70" i="4"/>
  <c r="AF70" i="4" s="1"/>
  <c r="AM126" i="4"/>
  <c r="AN126" i="4" s="1"/>
  <c r="AM146" i="4"/>
  <c r="AN146" i="4" s="1"/>
  <c r="W30" i="4"/>
  <c r="Y30" i="4" s="1"/>
  <c r="Z30" i="4" s="1"/>
  <c r="AF30" i="4" s="1"/>
  <c r="AG30" i="4" s="1"/>
  <c r="AI30" i="4" s="1"/>
  <c r="AM97" i="4"/>
  <c r="AN97" i="4" s="1"/>
  <c r="W75" i="4"/>
  <c r="Y75" i="4" s="1"/>
  <c r="Z75" i="4" s="1"/>
  <c r="AF75" i="4" s="1"/>
  <c r="AO75" i="4" s="1"/>
  <c r="AR521" i="5"/>
  <c r="AR147" i="5"/>
  <c r="AR202" i="5"/>
  <c r="AQ556" i="5"/>
  <c r="AQ267" i="5"/>
  <c r="AR383" i="5"/>
  <c r="AQ250" i="5"/>
  <c r="AR365" i="5"/>
  <c r="AQ26" i="5"/>
  <c r="AQ153" i="5"/>
  <c r="AQ159" i="5"/>
  <c r="X12" i="5"/>
  <c r="AQ536" i="5"/>
  <c r="AR81" i="5"/>
  <c r="AR157" i="5"/>
  <c r="AQ340" i="5"/>
  <c r="AR451" i="5"/>
  <c r="AR69" i="5"/>
  <c r="AQ332" i="5"/>
  <c r="AR437" i="5"/>
  <c r="AQ372" i="5"/>
  <c r="AR304" i="5"/>
  <c r="AQ491" i="5"/>
  <c r="AR105" i="5"/>
  <c r="AQ485" i="5"/>
  <c r="AR560" i="5"/>
  <c r="AQ287" i="5"/>
  <c r="AR465" i="5"/>
  <c r="AQ25" i="5"/>
  <c r="AQ540" i="5"/>
  <c r="AQ178" i="5"/>
  <c r="AR390" i="5"/>
  <c r="W91" i="4"/>
  <c r="X91" i="4" s="1"/>
  <c r="AJ91" i="4" s="1"/>
  <c r="Z123" i="4"/>
  <c r="AF123" i="4" s="1"/>
  <c r="AQ345" i="5"/>
  <c r="AR512" i="5"/>
  <c r="AQ227" i="5"/>
  <c r="AQ173" i="5"/>
  <c r="AR176" i="5"/>
  <c r="AR382" i="5"/>
  <c r="AQ460" i="5"/>
  <c r="AR118" i="5"/>
  <c r="AR506" i="5"/>
  <c r="AR333" i="5"/>
  <c r="AQ301" i="5"/>
  <c r="AR72" i="5"/>
  <c r="AQ544" i="5"/>
  <c r="AR557" i="5"/>
  <c r="AR477" i="5"/>
  <c r="AR432" i="5"/>
  <c r="AR166" i="5"/>
  <c r="AQ273" i="5"/>
  <c r="AQ402" i="5"/>
  <c r="AP10" i="5"/>
  <c r="AQ10" i="5" s="1"/>
  <c r="AR483" i="5"/>
  <c r="AR398" i="5"/>
  <c r="AQ192" i="5"/>
  <c r="AR189" i="5"/>
  <c r="AR313" i="5"/>
  <c r="AR450" i="5"/>
  <c r="AQ135" i="5"/>
  <c r="AQ527" i="5"/>
  <c r="AQ225" i="5"/>
  <c r="AQ510" i="5"/>
  <c r="AQ387" i="5"/>
  <c r="AR461" i="5"/>
  <c r="AR146" i="5"/>
  <c r="AR92" i="5"/>
  <c r="AR524" i="5"/>
  <c r="AQ182" i="5"/>
  <c r="AR394" i="5"/>
  <c r="AR314" i="5"/>
  <c r="AQ454" i="5"/>
  <c r="AQ306" i="5"/>
  <c r="AQ359" i="5"/>
  <c r="AR486" i="5"/>
  <c r="AQ127" i="5"/>
  <c r="AR496" i="5"/>
  <c r="AR262" i="5"/>
  <c r="AQ58" i="5"/>
  <c r="AR134" i="5"/>
  <c r="AQ245" i="5"/>
  <c r="AR494" i="5"/>
  <c r="AQ497" i="5"/>
  <c r="AR520" i="5"/>
  <c r="AR130" i="5"/>
  <c r="AQ428" i="5"/>
  <c r="AR470" i="5"/>
  <c r="AQ552" i="5"/>
  <c r="AQ112" i="5"/>
  <c r="AQ109" i="5"/>
  <c r="AR175" i="5"/>
  <c r="AR405" i="5"/>
  <c r="AQ110" i="5"/>
  <c r="AR119" i="5"/>
  <c r="AR539" i="5"/>
  <c r="AQ38" i="5"/>
  <c r="W48" i="4"/>
  <c r="Y48" i="4" s="1"/>
  <c r="Z48" i="4" s="1"/>
  <c r="AF48" i="4" s="1"/>
  <c r="W95" i="4"/>
  <c r="Y95" i="4" s="1"/>
  <c r="Z95" i="4" s="1"/>
  <c r="Z151" i="4"/>
  <c r="AF151" i="4" s="1"/>
  <c r="AG151" i="4" s="1"/>
  <c r="AI151" i="4" s="1"/>
  <c r="AM63" i="4"/>
  <c r="AN63" i="4" s="1"/>
  <c r="AM123" i="4"/>
  <c r="AN123" i="4" s="1"/>
  <c r="W118" i="4"/>
  <c r="Y118" i="4" s="1"/>
  <c r="Z118" i="4" s="1"/>
  <c r="AN118" i="4"/>
  <c r="AQ218" i="5"/>
  <c r="AQ93" i="5"/>
  <c r="AR522" i="5"/>
  <c r="AR244" i="5"/>
  <c r="AR312" i="5"/>
  <c r="AQ404" i="5"/>
  <c r="AR237" i="5"/>
  <c r="AQ326" i="5"/>
  <c r="Z16" i="4"/>
  <c r="AF16" i="4" s="1"/>
  <c r="W7" i="4"/>
  <c r="AE7" i="4" s="1"/>
  <c r="W76" i="4"/>
  <c r="X76" i="4" s="1"/>
  <c r="AJ76" i="4" s="1"/>
  <c r="W127" i="4"/>
  <c r="AE127" i="4" s="1"/>
  <c r="AM52" i="4"/>
  <c r="AN52" i="4" s="1"/>
  <c r="W18" i="4"/>
  <c r="Y18" i="4" s="1"/>
  <c r="Z18" i="4" s="1"/>
  <c r="AF18" i="4" s="1"/>
  <c r="Z97" i="4"/>
  <c r="AF97" i="4" s="1"/>
  <c r="AO97" i="4" s="1"/>
  <c r="AM70" i="4"/>
  <c r="AN70" i="4" s="1"/>
  <c r="W35" i="4"/>
  <c r="X35" i="4" s="1"/>
  <c r="AJ35" i="4" s="1"/>
  <c r="AR535" i="5"/>
  <c r="AQ476" i="5"/>
  <c r="AR517" i="5"/>
  <c r="AR406" i="5"/>
  <c r="AR498" i="5"/>
  <c r="AQ104" i="5"/>
  <c r="AR330" i="5"/>
  <c r="AQ79" i="5"/>
  <c r="AQ184" i="5"/>
  <c r="AR384" i="5"/>
  <c r="AR426" i="5"/>
  <c r="AQ30" i="5"/>
  <c r="AR165" i="5"/>
  <c r="AR34" i="5"/>
  <c r="AQ318" i="5"/>
  <c r="AQ87" i="5"/>
  <c r="AR260" i="5"/>
  <c r="AQ23" i="5"/>
  <c r="AR551" i="5"/>
  <c r="AQ444" i="5"/>
  <c r="AQ530" i="5"/>
  <c r="AR321" i="5"/>
  <c r="AQ158" i="5"/>
  <c r="AR417" i="5"/>
  <c r="AQ302" i="5"/>
  <c r="AR70" i="5"/>
  <c r="AQ211" i="5"/>
  <c r="AN105" i="4"/>
  <c r="AC546" i="5"/>
  <c r="AD546" i="5" s="1"/>
  <c r="AC523" i="5"/>
  <c r="AE523" i="5" s="1"/>
  <c r="AC459" i="5"/>
  <c r="AD459" i="5" s="1"/>
  <c r="AC206" i="5"/>
  <c r="AD206" i="5" s="1"/>
  <c r="AL9" i="5"/>
  <c r="Z87" i="4"/>
  <c r="AF87" i="4" s="1"/>
  <c r="AO87" i="4" s="1"/>
  <c r="AC379" i="5"/>
  <c r="AE379" i="5" s="1"/>
  <c r="AC392" i="5"/>
  <c r="AS392" i="5" s="1"/>
  <c r="AC371" i="5"/>
  <c r="AE371" i="5" s="1"/>
  <c r="AC522" i="5"/>
  <c r="AS522" i="5" s="1"/>
  <c r="AC512" i="5"/>
  <c r="AD512" i="5" s="1"/>
  <c r="AC429" i="5"/>
  <c r="AS429" i="5" s="1"/>
  <c r="Z117" i="4"/>
  <c r="AF117" i="4" s="1"/>
  <c r="AC160" i="5"/>
  <c r="AS160" i="5" s="1"/>
  <c r="AB288" i="5"/>
  <c r="AC234" i="5"/>
  <c r="AD234" i="5" s="1"/>
  <c r="AC525" i="5"/>
  <c r="AE525" i="5" s="1"/>
  <c r="AC426" i="5"/>
  <c r="AD426" i="5" s="1"/>
  <c r="AC534" i="5"/>
  <c r="AD534" i="5" s="1"/>
  <c r="AC432" i="5"/>
  <c r="AS432" i="5" s="1"/>
  <c r="AC221" i="5"/>
  <c r="AS221" i="5" s="1"/>
  <c r="AC121" i="5"/>
  <c r="AS121" i="5" s="1"/>
  <c r="AC537" i="5"/>
  <c r="AE537" i="5" s="1"/>
  <c r="V11" i="5"/>
  <c r="AC80" i="5"/>
  <c r="AS80" i="5" s="1"/>
  <c r="AC23" i="5"/>
  <c r="AD23" i="5" s="1"/>
  <c r="AC530" i="5"/>
  <c r="AD530" i="5" s="1"/>
  <c r="AC289" i="5"/>
  <c r="AD289" i="5" s="1"/>
  <c r="AC264" i="5"/>
  <c r="AE264" i="5" s="1"/>
  <c r="AC446" i="5"/>
  <c r="AD446" i="5" s="1"/>
  <c r="AC117" i="5"/>
  <c r="AS117" i="5" s="1"/>
  <c r="AC97" i="5"/>
  <c r="AD97" i="5" s="1"/>
  <c r="AC105" i="5"/>
  <c r="AE105" i="5" s="1"/>
  <c r="B35" i="2"/>
  <c r="AC376" i="5"/>
  <c r="AD376" i="5" s="1"/>
  <c r="AC508" i="5"/>
  <c r="AE508" i="5" s="1"/>
  <c r="AC184" i="5"/>
  <c r="AD184" i="5" s="1"/>
  <c r="AQ77" i="5"/>
  <c r="AQ457" i="5"/>
  <c r="AR493" i="5"/>
  <c r="AR117" i="5"/>
  <c r="AQ22" i="5"/>
  <c r="AR422" i="5"/>
  <c r="AR20" i="5"/>
  <c r="AR284" i="5"/>
  <c r="AQ360" i="5"/>
  <c r="AR138" i="5"/>
  <c r="AR447" i="5"/>
  <c r="AQ37" i="5"/>
  <c r="AQ142" i="5"/>
  <c r="AQ229" i="5"/>
  <c r="AR233" i="5"/>
  <c r="AR258" i="5"/>
  <c r="AQ525" i="5"/>
  <c r="AQ239" i="5"/>
  <c r="AQ276" i="5"/>
  <c r="AQ42" i="5"/>
  <c r="AQ54" i="5"/>
  <c r="AR144" i="5"/>
  <c r="AR364" i="5"/>
  <c r="AQ219" i="5"/>
  <c r="AR463" i="5"/>
  <c r="K29" i="2"/>
  <c r="K30" i="2" s="1"/>
  <c r="AC463" i="5"/>
  <c r="AE463" i="5" s="1"/>
  <c r="AA445" i="5"/>
  <c r="W37" i="4"/>
  <c r="X37" i="4" s="1"/>
  <c r="AJ37" i="4" s="1"/>
  <c r="AR462" i="5"/>
  <c r="AQ21" i="5"/>
  <c r="AR448" i="5"/>
  <c r="AQ488" i="5"/>
  <c r="AR126" i="5"/>
  <c r="AR495" i="5"/>
  <c r="AR131" i="5"/>
  <c r="R31" i="2"/>
  <c r="S31" i="2" s="1"/>
  <c r="Q31" i="2"/>
  <c r="P31" i="2" s="1"/>
  <c r="AR378" i="5"/>
  <c r="AR255" i="5"/>
  <c r="AQ542" i="5"/>
  <c r="AR194" i="5"/>
  <c r="AQ190" i="5"/>
  <c r="AQ370" i="5"/>
  <c r="AQ257" i="5"/>
  <c r="AA97" i="5"/>
  <c r="AR368" i="5"/>
  <c r="AR45" i="5"/>
  <c r="AR232" i="5"/>
  <c r="AQ545" i="5"/>
  <c r="AR82" i="5"/>
  <c r="AR56" i="5"/>
  <c r="AM117" i="4"/>
  <c r="AN117" i="4" s="1"/>
  <c r="W46" i="4"/>
  <c r="Y46" i="4" s="1"/>
  <c r="Z46" i="4" s="1"/>
  <c r="AF46" i="4" s="1"/>
  <c r="AG46" i="4" s="1"/>
  <c r="AI46" i="4" s="1"/>
  <c r="W145" i="4"/>
  <c r="Y145" i="4" s="1"/>
  <c r="Z145" i="4" s="1"/>
  <c r="AF145" i="4" s="1"/>
  <c r="AA297" i="5"/>
  <c r="AB261" i="5"/>
  <c r="AA363" i="5"/>
  <c r="AC520" i="5"/>
  <c r="AS520" i="5" s="1"/>
  <c r="AC359" i="5"/>
  <c r="AD359" i="5" s="1"/>
  <c r="AB80" i="5"/>
  <c r="AC386" i="5"/>
  <c r="AS386" i="5" s="1"/>
  <c r="AA265" i="5"/>
  <c r="AB447" i="5"/>
  <c r="AB19" i="5"/>
  <c r="AB247" i="5"/>
  <c r="AB208" i="5"/>
  <c r="AB532" i="5"/>
  <c r="AB217" i="5"/>
  <c r="AA27" i="5"/>
  <c r="W20" i="4"/>
  <c r="X20" i="4" s="1"/>
  <c r="AJ20" i="4" s="1"/>
  <c r="AA7" i="5"/>
  <c r="AC265" i="5"/>
  <c r="AE265" i="5" s="1"/>
  <c r="AC540" i="5"/>
  <c r="AE540" i="5" s="1"/>
  <c r="AB529" i="5"/>
  <c r="AA540" i="5"/>
  <c r="AB560" i="5"/>
  <c r="AC470" i="5"/>
  <c r="AE470" i="5" s="1"/>
  <c r="AC460" i="5"/>
  <c r="AS460" i="5" s="1"/>
  <c r="AC138" i="5"/>
  <c r="AE138" i="5" s="1"/>
  <c r="AA550" i="5"/>
  <c r="AB293" i="5"/>
  <c r="AA551" i="5"/>
  <c r="Z115" i="4"/>
  <c r="AF115" i="4" s="1"/>
  <c r="AC31" i="5"/>
  <c r="AE31" i="5" s="1"/>
  <c r="AA26" i="5"/>
  <c r="AM16" i="4"/>
  <c r="AN16" i="4" s="1"/>
  <c r="AB301" i="5"/>
  <c r="AA283" i="5"/>
  <c r="AB254" i="5"/>
  <c r="AA116" i="5"/>
  <c r="AA405" i="5"/>
  <c r="AA142" i="5"/>
  <c r="AB150" i="5"/>
  <c r="AJ157" i="4"/>
  <c r="AM128" i="4"/>
  <c r="AN128" i="4" s="1"/>
  <c r="Z43" i="4"/>
  <c r="AF43" i="4" s="1"/>
  <c r="AO43" i="4" s="1"/>
  <c r="AB169" i="5"/>
  <c r="AB379" i="5"/>
  <c r="AB42" i="5"/>
  <c r="AB196" i="5"/>
  <c r="AB403" i="5"/>
  <c r="AB487" i="5"/>
  <c r="AB189" i="5"/>
  <c r="AA36" i="5"/>
  <c r="AA502" i="5"/>
  <c r="AB537" i="5"/>
  <c r="AA514" i="5"/>
  <c r="AB121" i="5"/>
  <c r="AB151" i="5"/>
  <c r="AA106" i="5"/>
  <c r="AA48" i="5"/>
  <c r="AA53" i="5"/>
  <c r="AM134" i="4"/>
  <c r="AN134" i="4" s="1"/>
  <c r="AA523" i="5"/>
  <c r="AB335" i="5"/>
  <c r="AB390" i="5"/>
  <c r="AA63" i="5"/>
  <c r="AB93" i="5"/>
  <c r="W61" i="4"/>
  <c r="Y61" i="4" s="1"/>
  <c r="Z61" i="4" s="1"/>
  <c r="AF61" i="4" s="1"/>
  <c r="AG61" i="4" s="1"/>
  <c r="AI61" i="4" s="1"/>
  <c r="AB262" i="5"/>
  <c r="AA90" i="5"/>
  <c r="AC277" i="5"/>
  <c r="AE277" i="5" s="1"/>
  <c r="AC306" i="5"/>
  <c r="AE306" i="5" s="1"/>
  <c r="AC38" i="5"/>
  <c r="AS38" i="5" s="1"/>
  <c r="AA263" i="5"/>
  <c r="AB235" i="5"/>
  <c r="AA343" i="5"/>
  <c r="AM56" i="4"/>
  <c r="AN56" i="4" s="1"/>
  <c r="AB331" i="5"/>
  <c r="W15" i="4"/>
  <c r="Y15" i="4" s="1"/>
  <c r="Z15" i="4" s="1"/>
  <c r="AF15" i="4" s="1"/>
  <c r="AA256" i="5"/>
  <c r="AB498" i="5"/>
  <c r="AB298" i="5"/>
  <c r="AC208" i="5"/>
  <c r="AS208" i="5" s="1"/>
  <c r="AC365" i="5"/>
  <c r="AS365" i="5" s="1"/>
  <c r="AC280" i="5"/>
  <c r="AS280" i="5" s="1"/>
  <c r="AC353" i="5"/>
  <c r="AE353" i="5" s="1"/>
  <c r="AC213" i="5"/>
  <c r="AD213" i="5" s="1"/>
  <c r="AC194" i="5"/>
  <c r="AE194" i="5" s="1"/>
  <c r="AA289" i="5"/>
  <c r="AA462" i="5"/>
  <c r="AB202" i="5"/>
  <c r="AA213" i="5"/>
  <c r="AC42" i="5"/>
  <c r="AD42" i="5" s="1"/>
  <c r="AC216" i="5"/>
  <c r="AS216" i="5" s="1"/>
  <c r="AC325" i="5"/>
  <c r="AE325" i="5" s="1"/>
  <c r="AB179" i="5"/>
  <c r="AA495" i="5"/>
  <c r="AC417" i="5"/>
  <c r="AS417" i="5" s="1"/>
  <c r="AC451" i="5"/>
  <c r="AE451" i="5" s="1"/>
  <c r="AC332" i="5"/>
  <c r="AS332" i="5" s="1"/>
  <c r="AB356" i="5"/>
  <c r="AB371" i="5"/>
  <c r="AB359" i="5"/>
  <c r="AB522" i="5"/>
  <c r="AB161" i="5"/>
  <c r="AB309" i="5"/>
  <c r="AA424" i="5"/>
  <c r="AA244" i="5"/>
  <c r="AC361" i="5"/>
  <c r="AE361" i="5" s="1"/>
  <c r="AC425" i="5"/>
  <c r="AD425" i="5" s="1"/>
  <c r="AC297" i="5"/>
  <c r="AD297" i="5" s="1"/>
  <c r="AC333" i="5"/>
  <c r="AS333" i="5" s="1"/>
  <c r="AC244" i="5"/>
  <c r="AE244" i="5" s="1"/>
  <c r="AC532" i="5"/>
  <c r="AD532" i="5" s="1"/>
  <c r="AC552" i="5"/>
  <c r="AD552" i="5" s="1"/>
  <c r="AC294" i="5"/>
  <c r="AS294" i="5" s="1"/>
  <c r="AA442" i="5"/>
  <c r="AA194" i="5"/>
  <c r="AA428" i="5"/>
  <c r="AA333" i="5"/>
  <c r="AC76" i="5"/>
  <c r="AD76" i="5" s="1"/>
  <c r="AC500" i="5"/>
  <c r="AS500" i="5" s="1"/>
  <c r="AC298" i="5"/>
  <c r="AS298" i="5" s="1"/>
  <c r="AC197" i="5"/>
  <c r="AE197" i="5" s="1"/>
  <c r="AC261" i="5"/>
  <c r="AS261" i="5" s="1"/>
  <c r="AA494" i="5"/>
  <c r="AA251" i="5"/>
  <c r="AB25" i="5"/>
  <c r="AB417" i="5"/>
  <c r="AC483" i="5"/>
  <c r="AD483" i="5" s="1"/>
  <c r="AC517" i="5"/>
  <c r="AD517" i="5" s="1"/>
  <c r="AC148" i="5"/>
  <c r="AD148" i="5" s="1"/>
  <c r="AC363" i="5"/>
  <c r="AE363" i="5" s="1"/>
  <c r="AC462" i="5"/>
  <c r="AD462" i="5" s="1"/>
  <c r="AC46" i="5"/>
  <c r="AE46" i="5" s="1"/>
  <c r="AC54" i="5"/>
  <c r="AS54" i="5" s="1"/>
  <c r="AU54" i="5" s="1"/>
  <c r="AC356" i="5"/>
  <c r="AS356" i="5" s="1"/>
  <c r="AC279" i="5"/>
  <c r="AS279" i="5" s="1"/>
  <c r="AC25" i="5"/>
  <c r="AD25" i="5" s="1"/>
  <c r="AB332" i="5"/>
  <c r="AA276" i="5"/>
  <c r="AC495" i="5"/>
  <c r="AS495" i="5" s="1"/>
  <c r="AC309" i="5"/>
  <c r="AD309" i="5" s="1"/>
  <c r="AC494" i="5"/>
  <c r="AD494" i="5" s="1"/>
  <c r="AC314" i="5"/>
  <c r="AD314" i="5" s="1"/>
  <c r="AC422" i="5"/>
  <c r="AS422" i="5" s="1"/>
  <c r="AC202" i="5"/>
  <c r="AS202" i="5" s="1"/>
  <c r="AU202" i="5" s="1"/>
  <c r="AC518" i="5"/>
  <c r="AE518" i="5" s="1"/>
  <c r="AC248" i="5"/>
  <c r="AD248" i="5" s="1"/>
  <c r="AB469" i="5"/>
  <c r="AA221" i="5"/>
  <c r="AB421" i="5"/>
  <c r="AB327" i="5"/>
  <c r="AA475" i="5"/>
  <c r="AB220" i="5"/>
  <c r="AB463" i="5"/>
  <c r="AC478" i="5"/>
  <c r="AE478" i="5" s="1"/>
  <c r="AC366" i="5"/>
  <c r="AE366" i="5" s="1"/>
  <c r="AC327" i="5"/>
  <c r="AE327" i="5" s="1"/>
  <c r="AM43" i="4"/>
  <c r="AN43" i="4" s="1"/>
  <c r="AC180" i="5"/>
  <c r="AS180" i="5" s="1"/>
  <c r="AA149" i="5"/>
  <c r="AB426" i="5"/>
  <c r="AB274" i="5"/>
  <c r="W142" i="4"/>
  <c r="Y142" i="4" s="1"/>
  <c r="Z142" i="4" s="1"/>
  <c r="AB366" i="5"/>
  <c r="AA304" i="5"/>
  <c r="AB94" i="5"/>
  <c r="W57" i="4"/>
  <c r="Y57" i="4" s="1"/>
  <c r="Z57" i="4" s="1"/>
  <c r="AF57" i="4" s="1"/>
  <c r="AC469" i="5"/>
  <c r="AE469" i="5" s="1"/>
  <c r="AC241" i="5"/>
  <c r="AS241" i="5" s="1"/>
  <c r="AC142" i="5"/>
  <c r="AS142" i="5" s="1"/>
  <c r="AC237" i="5"/>
  <c r="AS237" i="5" s="1"/>
  <c r="AC283" i="5"/>
  <c r="AE283" i="5" s="1"/>
  <c r="AC304" i="5"/>
  <c r="AS304" i="5" s="1"/>
  <c r="AC477" i="5"/>
  <c r="AD477" i="5" s="1"/>
  <c r="AB416" i="5"/>
  <c r="AA539" i="5"/>
  <c r="AC267" i="5"/>
  <c r="AE267" i="5" s="1"/>
  <c r="AC220" i="5"/>
  <c r="AD220" i="5" s="1"/>
  <c r="AC482" i="5"/>
  <c r="AS482" i="5" s="1"/>
  <c r="AC122" i="5"/>
  <c r="AD122" i="5" s="1"/>
  <c r="AC22" i="5"/>
  <c r="AD22" i="5" s="1"/>
  <c r="AB133" i="5"/>
  <c r="AA59" i="5"/>
  <c r="AB429" i="5"/>
  <c r="AC341" i="5"/>
  <c r="AS341" i="5" s="1"/>
  <c r="AC101" i="5"/>
  <c r="AS101" i="5" s="1"/>
  <c r="AC374" i="5"/>
  <c r="AE374" i="5" s="1"/>
  <c r="AC165" i="5"/>
  <c r="AS165" i="5" s="1"/>
  <c r="AC504" i="5"/>
  <c r="AE504" i="5" s="1"/>
  <c r="AB351" i="5"/>
  <c r="AC405" i="5"/>
  <c r="AD405" i="5" s="1"/>
  <c r="AC26" i="5"/>
  <c r="AE26" i="5" s="1"/>
  <c r="AC416" i="5"/>
  <c r="AD416" i="5" s="1"/>
  <c r="AC150" i="5"/>
  <c r="AE150" i="5" s="1"/>
  <c r="AA241" i="5"/>
  <c r="AC351" i="5"/>
  <c r="AD351" i="5" s="1"/>
  <c r="AC551" i="5"/>
  <c r="AD551" i="5" s="1"/>
  <c r="AC94" i="5"/>
  <c r="AE94" i="5" s="1"/>
  <c r="AC476" i="5"/>
  <c r="AD476" i="5" s="1"/>
  <c r="AC254" i="5"/>
  <c r="AS254" i="5" s="1"/>
  <c r="AC133" i="5"/>
  <c r="AS133" i="5" s="1"/>
  <c r="AC274" i="5"/>
  <c r="AS274" i="5" s="1"/>
  <c r="AC301" i="5"/>
  <c r="AE301" i="5" s="1"/>
  <c r="AC421" i="5"/>
  <c r="AE421" i="5" s="1"/>
  <c r="AC116" i="5"/>
  <c r="AE116" i="5" s="1"/>
  <c r="AC475" i="5"/>
  <c r="AE475" i="5" s="1"/>
  <c r="AC438" i="5"/>
  <c r="AE438" i="5" s="1"/>
  <c r="AA260" i="5"/>
  <c r="AB546" i="5"/>
  <c r="AB545" i="5"/>
  <c r="AC222" i="5"/>
  <c r="AD222" i="5" s="1"/>
  <c r="AC434" i="5"/>
  <c r="AS434" i="5" s="1"/>
  <c r="AC158" i="5"/>
  <c r="AE158" i="5" s="1"/>
  <c r="AC360" i="5"/>
  <c r="AE360" i="5" s="1"/>
  <c r="AC496" i="5"/>
  <c r="AD496" i="5" s="1"/>
  <c r="AC232" i="5"/>
  <c r="AS232" i="5" s="1"/>
  <c r="AA222" i="5"/>
  <c r="AB132" i="5"/>
  <c r="AB360" i="5"/>
  <c r="AA137" i="5"/>
  <c r="AB368" i="5"/>
  <c r="AB174" i="5"/>
  <c r="AC50" i="5"/>
  <c r="AE50" i="5" s="1"/>
  <c r="AC200" i="5"/>
  <c r="AD200" i="5" s="1"/>
  <c r="AC132" i="5"/>
  <c r="AE132" i="5" s="1"/>
  <c r="AB278" i="5"/>
  <c r="AC59" i="5"/>
  <c r="AS59" i="5" s="1"/>
  <c r="AA376" i="5"/>
  <c r="AB31" i="5"/>
  <c r="AA499" i="5"/>
  <c r="W125" i="4"/>
  <c r="Y125" i="4" s="1"/>
  <c r="Z125" i="4" s="1"/>
  <c r="W14" i="4"/>
  <c r="Y14" i="4" s="1"/>
  <c r="Z14" i="4" s="1"/>
  <c r="AC174" i="5"/>
  <c r="AE174" i="5" s="1"/>
  <c r="AC238" i="5"/>
  <c r="AE238" i="5" s="1"/>
  <c r="AC137" i="5"/>
  <c r="AD137" i="5" s="1"/>
  <c r="AC114" i="5"/>
  <c r="AE114" i="5" s="1"/>
  <c r="AC354" i="5"/>
  <c r="AD354" i="5" s="1"/>
  <c r="AC168" i="5"/>
  <c r="AE168" i="5" s="1"/>
  <c r="AA168" i="5"/>
  <c r="AA50" i="5"/>
  <c r="AA114" i="5"/>
  <c r="AA438" i="5"/>
  <c r="AC58" i="5"/>
  <c r="AD58" i="5" s="1"/>
  <c r="AC120" i="5"/>
  <c r="AD120" i="5" s="1"/>
  <c r="AC140" i="5"/>
  <c r="AD140" i="5" s="1"/>
  <c r="AA543" i="5"/>
  <c r="AB354" i="5"/>
  <c r="AA160" i="5"/>
  <c r="AB452" i="5"/>
  <c r="AB259" i="5"/>
  <c r="AA140" i="5"/>
  <c r="AC278" i="5"/>
  <c r="AS278" i="5" s="1"/>
  <c r="AU278" i="5" s="1"/>
  <c r="AC556" i="5"/>
  <c r="AE556" i="5" s="1"/>
  <c r="AC259" i="5"/>
  <c r="AE259" i="5" s="1"/>
  <c r="AC295" i="5"/>
  <c r="AE295" i="5" s="1"/>
  <c r="AC479" i="5"/>
  <c r="AS479" i="5" s="1"/>
  <c r="AC68" i="5"/>
  <c r="AD68" i="5" s="1"/>
  <c r="AC262" i="5"/>
  <c r="AS262" i="5" s="1"/>
  <c r="AC21" i="5"/>
  <c r="AE21" i="5" s="1"/>
  <c r="AC260" i="5"/>
  <c r="AS260" i="5" s="1"/>
  <c r="AC511" i="5"/>
  <c r="AE511" i="5" s="1"/>
  <c r="AC65" i="5"/>
  <c r="AD65" i="5" s="1"/>
  <c r="AC343" i="5"/>
  <c r="AS343" i="5" s="1"/>
  <c r="AC243" i="5"/>
  <c r="AD243" i="5" s="1"/>
  <c r="AC73" i="5"/>
  <c r="AE73" i="5" s="1"/>
  <c r="AC502" i="5"/>
  <c r="AD502" i="5" s="1"/>
  <c r="AC543" i="5"/>
  <c r="AS543" i="5" s="1"/>
  <c r="AC440" i="5"/>
  <c r="AE440" i="5" s="1"/>
  <c r="AC452" i="5"/>
  <c r="AE452" i="5" s="1"/>
  <c r="AC499" i="5"/>
  <c r="AS499" i="5" s="1"/>
  <c r="AC36" i="5"/>
  <c r="AD36" i="5" s="1"/>
  <c r="AB49" i="5"/>
  <c r="AC155" i="5"/>
  <c r="AE155" i="5" s="1"/>
  <c r="AC217" i="5"/>
  <c r="AE217" i="5" s="1"/>
  <c r="AC188" i="5"/>
  <c r="AD188" i="5" s="1"/>
  <c r="AC390" i="5"/>
  <c r="AD390" i="5" s="1"/>
  <c r="AC226" i="5"/>
  <c r="AE226" i="5" s="1"/>
  <c r="AC173" i="5"/>
  <c r="AS173" i="5" s="1"/>
  <c r="AC106" i="5"/>
  <c r="AD106" i="5" s="1"/>
  <c r="AC514" i="5"/>
  <c r="AE514" i="5" s="1"/>
  <c r="AC27" i="5"/>
  <c r="AE27" i="5" s="1"/>
  <c r="AC40" i="5"/>
  <c r="AS40" i="5" s="1"/>
  <c r="AC223" i="5"/>
  <c r="AS223" i="5" s="1"/>
  <c r="AC181" i="5"/>
  <c r="AS181" i="5" s="1"/>
  <c r="AC151" i="5"/>
  <c r="AS151" i="5" s="1"/>
  <c r="AC399" i="5"/>
  <c r="AS399" i="5" s="1"/>
  <c r="AC310" i="5"/>
  <c r="AE310" i="5" s="1"/>
  <c r="AC345" i="5"/>
  <c r="AE345" i="5" s="1"/>
  <c r="AC505" i="5"/>
  <c r="AD505" i="5" s="1"/>
  <c r="AA223" i="5"/>
  <c r="AA188" i="5"/>
  <c r="AB431" i="5"/>
  <c r="AB181" i="5"/>
  <c r="AA275" i="5"/>
  <c r="AC127" i="5"/>
  <c r="AS127" i="5" s="1"/>
  <c r="AU127" i="5" s="1"/>
  <c r="AC136" i="5"/>
  <c r="AS136" i="5" s="1"/>
  <c r="AC126" i="5"/>
  <c r="AE126" i="5" s="1"/>
  <c r="AC544" i="5"/>
  <c r="AS544" i="5" s="1"/>
  <c r="AC48" i="5"/>
  <c r="AE48" i="5" s="1"/>
  <c r="AC275" i="5"/>
  <c r="AS275" i="5" s="1"/>
  <c r="AC112" i="5"/>
  <c r="AS112" i="5" s="1"/>
  <c r="AC473" i="5"/>
  <c r="AD473" i="5" s="1"/>
  <c r="AC143" i="5"/>
  <c r="AD143" i="5" s="1"/>
  <c r="AC104" i="5"/>
  <c r="AE104" i="5" s="1"/>
  <c r="AA544" i="5"/>
  <c r="AA119" i="5"/>
  <c r="AB166" i="5"/>
  <c r="AC335" i="5"/>
  <c r="AE335" i="5" s="1"/>
  <c r="AC245" i="5"/>
  <c r="AE245" i="5" s="1"/>
  <c r="AC214" i="5"/>
  <c r="AD214" i="5" s="1"/>
  <c r="AC342" i="5"/>
  <c r="AS342" i="5" s="1"/>
  <c r="AB226" i="5"/>
  <c r="AB112" i="5"/>
  <c r="AB430" i="5"/>
  <c r="AC349" i="5"/>
  <c r="AD349" i="5" s="1"/>
  <c r="AC383" i="5"/>
  <c r="AE383" i="5" s="1"/>
  <c r="AC466" i="5"/>
  <c r="AE466" i="5" s="1"/>
  <c r="AC119" i="5"/>
  <c r="AE119" i="5" s="1"/>
  <c r="AC12" i="5"/>
  <c r="AD12" i="5" s="1"/>
  <c r="AB103" i="5"/>
  <c r="AC350" i="5"/>
  <c r="AE350" i="5" s="1"/>
  <c r="AC24" i="5"/>
  <c r="AD24" i="5" s="1"/>
  <c r="AC378" i="5"/>
  <c r="AD378" i="5" s="1"/>
  <c r="AC492" i="5"/>
  <c r="AE492" i="5" s="1"/>
  <c r="AC210" i="5"/>
  <c r="AD210" i="5" s="1"/>
  <c r="AA303" i="5"/>
  <c r="AB91" i="5"/>
  <c r="W66" i="4"/>
  <c r="Y66" i="4" s="1"/>
  <c r="Z66" i="4" s="1"/>
  <c r="AC111" i="5"/>
  <c r="AD111" i="5" s="1"/>
  <c r="AC239" i="5"/>
  <c r="AE239" i="5" s="1"/>
  <c r="AC32" i="5"/>
  <c r="AE32" i="5" s="1"/>
  <c r="AA64" i="5"/>
  <c r="AA387" i="5"/>
  <c r="AC55" i="5"/>
  <c r="AE55" i="5" s="1"/>
  <c r="AC77" i="5"/>
  <c r="AE77" i="5" s="1"/>
  <c r="AC113" i="5"/>
  <c r="AD113" i="5" s="1"/>
  <c r="AC369" i="5"/>
  <c r="AE369" i="5" s="1"/>
  <c r="AA404" i="5"/>
  <c r="AB86" i="5"/>
  <c r="AA55" i="5"/>
  <c r="AB203" i="5"/>
  <c r="AC269" i="5"/>
  <c r="AS269" i="5" s="1"/>
  <c r="AC468" i="5"/>
  <c r="AD468" i="5" s="1"/>
  <c r="AB436" i="5"/>
  <c r="AA32" i="5"/>
  <c r="AA111" i="5"/>
  <c r="AC303" i="5"/>
  <c r="AS303" i="5" s="1"/>
  <c r="AC49" i="5"/>
  <c r="AD49" i="5" s="1"/>
  <c r="AC103" i="5"/>
  <c r="AD103" i="5" s="1"/>
  <c r="AC404" i="5"/>
  <c r="AD404" i="5" s="1"/>
  <c r="AA321" i="5"/>
  <c r="AC166" i="5"/>
  <c r="AD166" i="5" s="1"/>
  <c r="AB105" i="5"/>
  <c r="AA296" i="5"/>
  <c r="AA175" i="5"/>
  <c r="AC441" i="5"/>
  <c r="AE441" i="5" s="1"/>
  <c r="AC62" i="5"/>
  <c r="AD62" i="5" s="1"/>
  <c r="AC536" i="5"/>
  <c r="AS536" i="5" s="1"/>
  <c r="AC83" i="5"/>
  <c r="AS83" i="5" s="1"/>
  <c r="AC75" i="5"/>
  <c r="AD75" i="5" s="1"/>
  <c r="AC385" i="5"/>
  <c r="AE385" i="5" s="1"/>
  <c r="AA375" i="5"/>
  <c r="AA329" i="5"/>
  <c r="AA336" i="5"/>
  <c r="AA402" i="5"/>
  <c r="AB401" i="5"/>
  <c r="AA441" i="5"/>
  <c r="AB525" i="5"/>
  <c r="AC515" i="5"/>
  <c r="AS515" i="5" s="1"/>
  <c r="AC189" i="5"/>
  <c r="AS189" i="5" s="1"/>
  <c r="AC313" i="5"/>
  <c r="AD313" i="5" s="1"/>
  <c r="AC203" i="5"/>
  <c r="AS203" i="5" s="1"/>
  <c r="AC472" i="5"/>
  <c r="AE472" i="5" s="1"/>
  <c r="AC186" i="5"/>
  <c r="AD186" i="5" s="1"/>
  <c r="AC134" i="5"/>
  <c r="AE134" i="5" s="1"/>
  <c r="AB396" i="5"/>
  <c r="AA236" i="5"/>
  <c r="AA313" i="5"/>
  <c r="AA205" i="5"/>
  <c r="AB472" i="5"/>
  <c r="AB453" i="5"/>
  <c r="AC403" i="5"/>
  <c r="AD403" i="5" s="1"/>
  <c r="AC541" i="5"/>
  <c r="AD541" i="5" s="1"/>
  <c r="AC300" i="5"/>
  <c r="AD300" i="5" s="1"/>
  <c r="AC34" i="5"/>
  <c r="AS34" i="5" s="1"/>
  <c r="AC44" i="5"/>
  <c r="AD44" i="5" s="1"/>
  <c r="AA62" i="5"/>
  <c r="AA392" i="5"/>
  <c r="AC401" i="5"/>
  <c r="AE401" i="5" s="1"/>
  <c r="AC229" i="5"/>
  <c r="AD229" i="5" s="1"/>
  <c r="AC427" i="5"/>
  <c r="AS427" i="5" s="1"/>
  <c r="AB456" i="5"/>
  <c r="AB171" i="5"/>
  <c r="Y73" i="4"/>
  <c r="Z73" i="4" s="1"/>
  <c r="AA73" i="4" s="1"/>
  <c r="AC73" i="4" s="1"/>
  <c r="AD73" i="4" s="1"/>
  <c r="AC455" i="5"/>
  <c r="AD455" i="5" s="1"/>
  <c r="AC456" i="5"/>
  <c r="AS456" i="5" s="1"/>
  <c r="AC205" i="5"/>
  <c r="AD205" i="5" s="1"/>
  <c r="AC218" i="5"/>
  <c r="AE218" i="5" s="1"/>
  <c r="AC395" i="5"/>
  <c r="AS395" i="5" s="1"/>
  <c r="AC128" i="5"/>
  <c r="AD128" i="5" s="1"/>
  <c r="AC375" i="5"/>
  <c r="AD375" i="5" s="1"/>
  <c r="AE73" i="4"/>
  <c r="AA455" i="5"/>
  <c r="AA60" i="5"/>
  <c r="AB8" i="5"/>
  <c r="AA382" i="5"/>
  <c r="AC329" i="5"/>
  <c r="AS329" i="5" s="1"/>
  <c r="AC302" i="5"/>
  <c r="AE302" i="5" s="1"/>
  <c r="AC171" i="5"/>
  <c r="AS171" i="5" s="1"/>
  <c r="AC450" i="5"/>
  <c r="AS450" i="5" s="1"/>
  <c r="AC336" i="5"/>
  <c r="AD336" i="5" s="1"/>
  <c r="AC60" i="5"/>
  <c r="AD60" i="5" s="1"/>
  <c r="AC381" i="5"/>
  <c r="AS381" i="5" s="1"/>
  <c r="AC236" i="5"/>
  <c r="AE236" i="5" s="1"/>
  <c r="AC402" i="5"/>
  <c r="AD402" i="5" s="1"/>
  <c r="AC145" i="5"/>
  <c r="AD145" i="5" s="1"/>
  <c r="AC433" i="5"/>
  <c r="AS433" i="5" s="1"/>
  <c r="AC453" i="5"/>
  <c r="AE453" i="5" s="1"/>
  <c r="AC382" i="5"/>
  <c r="AD382" i="5" s="1"/>
  <c r="W135" i="4"/>
  <c r="Y135" i="4" s="1"/>
  <c r="Z135" i="4" s="1"/>
  <c r="AN11" i="5"/>
  <c r="AC125" i="5"/>
  <c r="AS125" i="5" s="1"/>
  <c r="AC513" i="5"/>
  <c r="AE513" i="5" s="1"/>
  <c r="AC377" i="5"/>
  <c r="AD377" i="5" s="1"/>
  <c r="AC29" i="5"/>
  <c r="AE29" i="5" s="1"/>
  <c r="AC129" i="5"/>
  <c r="AD129" i="5" s="1"/>
  <c r="AC69" i="5"/>
  <c r="AS69" i="5" s="1"/>
  <c r="AC193" i="5"/>
  <c r="AE193" i="5" s="1"/>
  <c r="AC486" i="5"/>
  <c r="AE486" i="5" s="1"/>
  <c r="AC398" i="5"/>
  <c r="AE398" i="5" s="1"/>
  <c r="AA294" i="5"/>
  <c r="AA69" i="5"/>
  <c r="AA486" i="5"/>
  <c r="AA70" i="5"/>
  <c r="AA548" i="5"/>
  <c r="AC70" i="5"/>
  <c r="AS70" i="5" s="1"/>
  <c r="AC251" i="5"/>
  <c r="AS251" i="5" s="1"/>
  <c r="AC228" i="5"/>
  <c r="AE228" i="5" s="1"/>
  <c r="AC285" i="5"/>
  <c r="AD285" i="5" s="1"/>
  <c r="AC110" i="5"/>
  <c r="AE110" i="5" s="1"/>
  <c r="AC43" i="5"/>
  <c r="AS43" i="5" s="1"/>
  <c r="AB400" i="5"/>
  <c r="AB533" i="5"/>
  <c r="AB513" i="5"/>
  <c r="AB509" i="5"/>
  <c r="AB228" i="5"/>
  <c r="AA29" i="5"/>
  <c r="AM33" i="4"/>
  <c r="AN33" i="4" s="1"/>
  <c r="AC179" i="5"/>
  <c r="AE179" i="5" s="1"/>
  <c r="AC394" i="5"/>
  <c r="AD394" i="5" s="1"/>
  <c r="AC481" i="5"/>
  <c r="AS481" i="5" s="1"/>
  <c r="AC533" i="5"/>
  <c r="AD533" i="5" s="1"/>
  <c r="AC424" i="5"/>
  <c r="AS424" i="5" s="1"/>
  <c r="AC268" i="5"/>
  <c r="AS268" i="5" s="1"/>
  <c r="AC270" i="5"/>
  <c r="AE270" i="5" s="1"/>
  <c r="AB255" i="5"/>
  <c r="AA129" i="5"/>
  <c r="AA394" i="5"/>
  <c r="AB270" i="5"/>
  <c r="AB425" i="5"/>
  <c r="AB491" i="5"/>
  <c r="AH18" i="4"/>
  <c r="AC444" i="5"/>
  <c r="AE444" i="5" s="1"/>
  <c r="AC555" i="5"/>
  <c r="AD555" i="5" s="1"/>
  <c r="AC338" i="5"/>
  <c r="AS338" i="5" s="1"/>
  <c r="AC163" i="5"/>
  <c r="AD163" i="5" s="1"/>
  <c r="AB163" i="5"/>
  <c r="AA157" i="5"/>
  <c r="AC99" i="5"/>
  <c r="AD99" i="5" s="1"/>
  <c r="AC255" i="5"/>
  <c r="AE255" i="5" s="1"/>
  <c r="AC553" i="5"/>
  <c r="AS553" i="5" s="1"/>
  <c r="AC388" i="5"/>
  <c r="AE388" i="5" s="1"/>
  <c r="AC247" i="5"/>
  <c r="AD247" i="5" s="1"/>
  <c r="AC93" i="5"/>
  <c r="AE93" i="5" s="1"/>
  <c r="W12" i="4"/>
  <c r="AE12" i="4" s="1"/>
  <c r="AC509" i="5"/>
  <c r="AD509" i="5" s="1"/>
  <c r="AC157" i="5"/>
  <c r="AD157" i="5" s="1"/>
  <c r="AC90" i="5"/>
  <c r="AE90" i="5" s="1"/>
  <c r="AC153" i="5"/>
  <c r="AD153" i="5" s="1"/>
  <c r="AC35" i="5"/>
  <c r="AD35" i="5" s="1"/>
  <c r="AC548" i="5"/>
  <c r="AE548" i="5" s="1"/>
  <c r="AC53" i="5"/>
  <c r="AE53" i="5" s="1"/>
  <c r="AA43" i="5"/>
  <c r="AA125" i="5"/>
  <c r="AC257" i="5"/>
  <c r="AS257" i="5" s="1"/>
  <c r="AT257" i="5" s="1"/>
  <c r="AC331" i="5"/>
  <c r="AS331" i="5" s="1"/>
  <c r="AC178" i="5"/>
  <c r="AD178" i="5" s="1"/>
  <c r="AC498" i="5"/>
  <c r="AS498" i="5" s="1"/>
  <c r="AC491" i="5"/>
  <c r="AS491" i="5" s="1"/>
  <c r="AC362" i="5"/>
  <c r="AS362" i="5" s="1"/>
  <c r="AC400" i="5"/>
  <c r="AE400" i="5" s="1"/>
  <c r="AC67" i="5"/>
  <c r="AE67" i="5" s="1"/>
  <c r="AC33" i="5"/>
  <c r="AS33" i="5" s="1"/>
  <c r="AC428" i="5"/>
  <c r="AE428" i="5" s="1"/>
  <c r="AC263" i="5"/>
  <c r="AD263" i="5" s="1"/>
  <c r="AB380" i="5"/>
  <c r="AA501" i="5"/>
  <c r="AB471" i="5"/>
  <c r="AB320" i="5"/>
  <c r="AA306" i="5"/>
  <c r="AC141" i="5"/>
  <c r="AD141" i="5" s="1"/>
  <c r="AC198" i="5"/>
  <c r="AD198" i="5" s="1"/>
  <c r="AC183" i="5"/>
  <c r="AS183" i="5" s="1"/>
  <c r="AC465" i="5"/>
  <c r="AS465" i="5" s="1"/>
  <c r="AA118" i="5"/>
  <c r="AB209" i="5"/>
  <c r="AA435" i="5"/>
  <c r="AC82" i="5"/>
  <c r="AE82" i="5" s="1"/>
  <c r="AC253" i="5"/>
  <c r="AS253" i="5" s="1"/>
  <c r="AC380" i="5"/>
  <c r="AS380" i="5" s="1"/>
  <c r="AC291" i="5"/>
  <c r="AE291" i="5" s="1"/>
  <c r="AC209" i="5"/>
  <c r="AD209" i="5" s="1"/>
  <c r="AC293" i="5"/>
  <c r="AE293" i="5" s="1"/>
  <c r="AC560" i="5"/>
  <c r="AE560" i="5" s="1"/>
  <c r="AC384" i="5"/>
  <c r="AD384" i="5" s="1"/>
  <c r="AC175" i="5"/>
  <c r="AS175" i="5" s="1"/>
  <c r="AT175" i="5" s="1"/>
  <c r="AC296" i="5"/>
  <c r="AS296" i="5" s="1"/>
  <c r="AC318" i="5"/>
  <c r="AD318" i="5" s="1"/>
  <c r="AC413" i="5"/>
  <c r="AS413" i="5" s="1"/>
  <c r="AB348" i="5"/>
  <c r="AA108" i="5"/>
  <c r="AC199" i="5"/>
  <c r="AD199" i="5" s="1"/>
  <c r="AA100" i="5"/>
  <c r="AC7" i="5"/>
  <c r="AS7" i="5" s="1"/>
  <c r="AC147" i="5"/>
  <c r="AS147" i="5" s="1"/>
  <c r="AU147" i="5" s="1"/>
  <c r="AC471" i="5"/>
  <c r="AS471" i="5" s="1"/>
  <c r="AC348" i="5"/>
  <c r="AS348" i="5" s="1"/>
  <c r="AC339" i="5"/>
  <c r="AS339" i="5" s="1"/>
  <c r="AC19" i="5"/>
  <c r="AD19" i="5" s="1"/>
  <c r="AC219" i="5"/>
  <c r="AE219" i="5" s="1"/>
  <c r="AC501" i="5"/>
  <c r="AD501" i="5" s="1"/>
  <c r="AC316" i="5"/>
  <c r="AE316" i="5" s="1"/>
  <c r="AB291" i="5"/>
  <c r="AA231" i="5"/>
  <c r="AB460" i="5"/>
  <c r="AA82" i="5"/>
  <c r="AA199" i="5"/>
  <c r="AB521" i="5"/>
  <c r="AA470" i="5"/>
  <c r="AC437" i="5"/>
  <c r="AD437" i="5" s="1"/>
  <c r="AC108" i="5"/>
  <c r="AD108" i="5" s="1"/>
  <c r="AC308" i="5"/>
  <c r="AD308" i="5" s="1"/>
  <c r="AC406" i="5"/>
  <c r="AD406" i="5" s="1"/>
  <c r="AC447" i="5"/>
  <c r="AD447" i="5" s="1"/>
  <c r="AC344" i="5"/>
  <c r="AD344" i="5" s="1"/>
  <c r="AC231" i="5"/>
  <c r="AD231" i="5" s="1"/>
  <c r="AC78" i="5"/>
  <c r="AS78" i="5" s="1"/>
  <c r="AT78" i="5" s="1"/>
  <c r="AB92" i="5"/>
  <c r="AC529" i="5"/>
  <c r="AE529" i="5" s="1"/>
  <c r="AC521" i="5"/>
  <c r="AS521" i="5" s="1"/>
  <c r="AC320" i="5"/>
  <c r="AE320" i="5" s="1"/>
  <c r="AC411" i="5"/>
  <c r="AE411" i="5" s="1"/>
  <c r="AC115" i="5"/>
  <c r="AD115" i="5" s="1"/>
  <c r="AM115" i="4"/>
  <c r="AN115" i="4" s="1"/>
  <c r="AM26" i="4"/>
  <c r="AN26" i="4" s="1"/>
  <c r="W26" i="4"/>
  <c r="AA409" i="5"/>
  <c r="AA414" i="5"/>
  <c r="AC321" i="5"/>
  <c r="AD321" i="5" s="1"/>
  <c r="AC410" i="5"/>
  <c r="AE410" i="5" s="1"/>
  <c r="AC480" i="5"/>
  <c r="AD480" i="5" s="1"/>
  <c r="AC135" i="5"/>
  <c r="AS135" i="5" s="1"/>
  <c r="AC420" i="5"/>
  <c r="AD420" i="5" s="1"/>
  <c r="AC559" i="5"/>
  <c r="AD559" i="5" s="1"/>
  <c r="AC436" i="5"/>
  <c r="AS436" i="5" s="1"/>
  <c r="AA66" i="5"/>
  <c r="AC182" i="5"/>
  <c r="AS182" i="5" s="1"/>
  <c r="AT182" i="5" s="1"/>
  <c r="AC20" i="5"/>
  <c r="AD20" i="5" s="1"/>
  <c r="AC45" i="5"/>
  <c r="AE45" i="5" s="1"/>
  <c r="AC201" i="5"/>
  <c r="AD201" i="5" s="1"/>
  <c r="AC102" i="5"/>
  <c r="AD102" i="5" s="1"/>
  <c r="AC323" i="5"/>
  <c r="AD323" i="5" s="1"/>
  <c r="AC66" i="5"/>
  <c r="AE66" i="5" s="1"/>
  <c r="AC528" i="5"/>
  <c r="AE528" i="5" s="1"/>
  <c r="AA369" i="5"/>
  <c r="AA317" i="5"/>
  <c r="AA410" i="5"/>
  <c r="AC204" i="5"/>
  <c r="AE204" i="5" s="1"/>
  <c r="AC506" i="5"/>
  <c r="AS506" i="5" s="1"/>
  <c r="AC409" i="5"/>
  <c r="AE409" i="5" s="1"/>
  <c r="AA282" i="5"/>
  <c r="AA506" i="5"/>
  <c r="AB135" i="5"/>
  <c r="AA201" i="5"/>
  <c r="AC272" i="5"/>
  <c r="AE272" i="5" s="1"/>
  <c r="AC414" i="5"/>
  <c r="AE414" i="5" s="1"/>
  <c r="AC81" i="5"/>
  <c r="AS81" i="5" s="1"/>
  <c r="AU81" i="5" s="1"/>
  <c r="AC387" i="5"/>
  <c r="AD387" i="5" s="1"/>
  <c r="AC266" i="5"/>
  <c r="AS266" i="5" s="1"/>
  <c r="AC282" i="5"/>
  <c r="AS282" i="5" s="1"/>
  <c r="AC72" i="5"/>
  <c r="AS72" i="5" s="1"/>
  <c r="AU72" i="5" s="1"/>
  <c r="AC558" i="5"/>
  <c r="AD558" i="5" s="1"/>
  <c r="AC317" i="5"/>
  <c r="AS317" i="5" s="1"/>
  <c r="AC240" i="5"/>
  <c r="AD240" i="5" s="1"/>
  <c r="AL11" i="5"/>
  <c r="AE96" i="4"/>
  <c r="X96" i="4"/>
  <c r="AJ96" i="4" s="1"/>
  <c r="AJ77" i="4"/>
  <c r="AO9" i="5"/>
  <c r="W39" i="4"/>
  <c r="X39" i="4" s="1"/>
  <c r="AJ39" i="4" s="1"/>
  <c r="W72" i="4"/>
  <c r="Y72" i="4" s="1"/>
  <c r="Z72" i="4" s="1"/>
  <c r="AF72" i="4" s="1"/>
  <c r="AG72" i="4" s="1"/>
  <c r="AI72" i="4" s="1"/>
  <c r="W22" i="4"/>
  <c r="X22" i="4" s="1"/>
  <c r="AJ22" i="4" s="1"/>
  <c r="AE140" i="4"/>
  <c r="X140" i="4"/>
  <c r="AJ140" i="4" s="1"/>
  <c r="W109" i="4"/>
  <c r="X109" i="4" s="1"/>
  <c r="AJ109" i="4" s="1"/>
  <c r="Z42" i="4"/>
  <c r="AF42" i="4" s="1"/>
  <c r="W129" i="4"/>
  <c r="Y129" i="4" s="1"/>
  <c r="Z129" i="4" s="1"/>
  <c r="AF129" i="4" s="1"/>
  <c r="AP9" i="5"/>
  <c r="AR9" i="5" s="1"/>
  <c r="W148" i="4"/>
  <c r="X148" i="4" s="1"/>
  <c r="AJ148" i="4" s="1"/>
  <c r="AP11" i="5"/>
  <c r="AQ11" i="5" s="1"/>
  <c r="AM121" i="4"/>
  <c r="AN121" i="4" s="1"/>
  <c r="W67" i="4"/>
  <c r="Y67" i="4" s="1"/>
  <c r="Z67" i="4" s="1"/>
  <c r="AM59" i="4"/>
  <c r="AN59" i="4" s="1"/>
  <c r="W59" i="4"/>
  <c r="X59" i="4" s="1"/>
  <c r="AJ59" i="4" s="1"/>
  <c r="AM132" i="4"/>
  <c r="AN132" i="4" s="1"/>
  <c r="W132" i="4"/>
  <c r="AM83" i="4"/>
  <c r="AN83" i="4" s="1"/>
  <c r="W83" i="4"/>
  <c r="AM141" i="4"/>
  <c r="AN141" i="4" s="1"/>
  <c r="W141" i="4"/>
  <c r="AM62" i="4"/>
  <c r="AN62" i="4" s="1"/>
  <c r="W62" i="4"/>
  <c r="AM21" i="4"/>
  <c r="AN21" i="4" s="1"/>
  <c r="W21" i="4"/>
  <c r="AN84" i="4"/>
  <c r="AM79" i="4"/>
  <c r="AN79" i="4" s="1"/>
  <c r="W79" i="4"/>
  <c r="Y79" i="4" s="1"/>
  <c r="Z79" i="4" s="1"/>
  <c r="W24" i="4"/>
  <c r="AM24" i="4"/>
  <c r="AN24" i="4" s="1"/>
  <c r="X105" i="4"/>
  <c r="AJ105" i="4" s="1"/>
  <c r="Y105" i="4"/>
  <c r="Z105" i="4" s="1"/>
  <c r="AE105" i="4"/>
  <c r="AH105" i="4"/>
  <c r="AM133" i="4"/>
  <c r="AN133" i="4" s="1"/>
  <c r="W133" i="4"/>
  <c r="W155" i="4"/>
  <c r="AE155" i="4" s="1"/>
  <c r="AM155" i="4"/>
  <c r="AN155" i="4" s="1"/>
  <c r="AM101" i="4"/>
  <c r="AN101" i="4" s="1"/>
  <c r="W101" i="4"/>
  <c r="AM34" i="4"/>
  <c r="AN34" i="4" s="1"/>
  <c r="W34" i="4"/>
  <c r="AM130" i="4"/>
  <c r="AN130" i="4" s="1"/>
  <c r="W130" i="4"/>
  <c r="Z140" i="4"/>
  <c r="AN143" i="4"/>
  <c r="AM144" i="4"/>
  <c r="AN144" i="4" s="1"/>
  <c r="W144" i="4"/>
  <c r="AN140" i="4"/>
  <c r="W152" i="4"/>
  <c r="Y152" i="4" s="1"/>
  <c r="Z152" i="4" s="1"/>
  <c r="W94" i="4"/>
  <c r="AE94" i="4" s="1"/>
  <c r="AM94" i="4"/>
  <c r="AN94" i="4" s="1"/>
  <c r="AM58" i="4"/>
  <c r="AN58" i="4" s="1"/>
  <c r="W58" i="4"/>
  <c r="AH155" i="4"/>
  <c r="AM10" i="4"/>
  <c r="AN10" i="4" s="1"/>
  <c r="W10" i="4"/>
  <c r="AE143" i="4"/>
  <c r="R9" i="5"/>
  <c r="S9" i="5"/>
  <c r="X84" i="4"/>
  <c r="AJ84" i="4" s="1"/>
  <c r="AE84" i="4"/>
  <c r="Y84" i="4"/>
  <c r="Z84" i="4" s="1"/>
  <c r="AI9" i="5"/>
  <c r="AH9" i="5"/>
  <c r="V9" i="5"/>
  <c r="U9" i="5"/>
  <c r="Y9" i="5"/>
  <c r="X9" i="5"/>
  <c r="AF143" i="4"/>
  <c r="X143" i="4"/>
  <c r="AJ143" i="4" s="1"/>
  <c r="AE40" i="4"/>
  <c r="AA11" i="5"/>
  <c r="AI11" i="5"/>
  <c r="AH11" i="5"/>
  <c r="S11" i="5"/>
  <c r="R11" i="5"/>
  <c r="X11" i="5"/>
  <c r="Y11" i="5"/>
  <c r="AR327" i="5"/>
  <c r="AR436" i="5"/>
  <c r="AQ438" i="5"/>
  <c r="AQ420" i="5"/>
  <c r="AR381" i="5"/>
  <c r="AQ392" i="5"/>
  <c r="AR261" i="5"/>
  <c r="AR531" i="5"/>
  <c r="AQ259" i="5"/>
  <c r="AR103" i="5"/>
  <c r="AR533" i="5"/>
  <c r="AR274" i="5"/>
  <c r="AQ66" i="5"/>
  <c r="AR474" i="5"/>
  <c r="AQ140" i="5"/>
  <c r="AQ101" i="5"/>
  <c r="AQ487" i="5"/>
  <c r="AR278" i="5"/>
  <c r="AR337" i="5"/>
  <c r="AQ143" i="5"/>
  <c r="AR397" i="5"/>
  <c r="AR226" i="5"/>
  <c r="AR296" i="5"/>
  <c r="AE122" i="4"/>
  <c r="AB128" i="5"/>
  <c r="AA180" i="5"/>
  <c r="AA361" i="5"/>
  <c r="AA338" i="5"/>
  <c r="AB353" i="5"/>
  <c r="AC315" i="5"/>
  <c r="AE315" i="5" s="1"/>
  <c r="AA267" i="5"/>
  <c r="AA253" i="5"/>
  <c r="AB362" i="5"/>
  <c r="AC396" i="5"/>
  <c r="AE396" i="5" s="1"/>
  <c r="AA318" i="5"/>
  <c r="AB511" i="5"/>
  <c r="AC539" i="5"/>
  <c r="AD539" i="5" s="1"/>
  <c r="AB465" i="5"/>
  <c r="AC430" i="5"/>
  <c r="AD430" i="5" s="1"/>
  <c r="AA346" i="5"/>
  <c r="AA281" i="5"/>
  <c r="AC8" i="5"/>
  <c r="AE8" i="5" s="1"/>
  <c r="AA158" i="5"/>
  <c r="AB357" i="5"/>
  <c r="AC290" i="5"/>
  <c r="AS290" i="5" s="1"/>
  <c r="AC305" i="5"/>
  <c r="AS305" i="5" s="1"/>
  <c r="AB206" i="5"/>
  <c r="AB440" i="5"/>
  <c r="AC292" i="5"/>
  <c r="AD292" i="5" s="1"/>
  <c r="AB65" i="5"/>
  <c r="AB214" i="5"/>
  <c r="AB101" i="5"/>
  <c r="AB326" i="5"/>
  <c r="AB253" i="5"/>
  <c r="AB287" i="5"/>
  <c r="AA465" i="5"/>
  <c r="AA295" i="5"/>
  <c r="AC346" i="5"/>
  <c r="AD346" i="5" s="1"/>
  <c r="AA186" i="5"/>
  <c r="AB158" i="5"/>
  <c r="AC407" i="5"/>
  <c r="AD407" i="5" s="1"/>
  <c r="AC357" i="5"/>
  <c r="AE357" i="5" s="1"/>
  <c r="AA290" i="5"/>
  <c r="AA305" i="5"/>
  <c r="AA440" i="5"/>
  <c r="AB292" i="5"/>
  <c r="AA65" i="5"/>
  <c r="AB230" i="5"/>
  <c r="AC326" i="5"/>
  <c r="AD326" i="5" s="1"/>
  <c r="AA353" i="5"/>
  <c r="AB339" i="5"/>
  <c r="AC95" i="5"/>
  <c r="AE95" i="5" s="1"/>
  <c r="AB295" i="5"/>
  <c r="AB186" i="5"/>
  <c r="AA488" i="5"/>
  <c r="AA407" i="5"/>
  <c r="AA427" i="5"/>
  <c r="AA323" i="5"/>
  <c r="AC227" i="5"/>
  <c r="AD227" i="5" s="1"/>
  <c r="AC230" i="5"/>
  <c r="AD230" i="5" s="1"/>
  <c r="AA315" i="5"/>
  <c r="AA245" i="5"/>
  <c r="AC284" i="5"/>
  <c r="AS284" i="5" s="1"/>
  <c r="AC287" i="5"/>
  <c r="AE287" i="5" s="1"/>
  <c r="AC311" i="5"/>
  <c r="AS311" i="5" s="1"/>
  <c r="AC124" i="5"/>
  <c r="AD124" i="5" s="1"/>
  <c r="AA496" i="5"/>
  <c r="AB377" i="5"/>
  <c r="AB245" i="5"/>
  <c r="AC224" i="5"/>
  <c r="AD224" i="5" s="1"/>
  <c r="AA339" i="5"/>
  <c r="AA284" i="5"/>
  <c r="AA95" i="5"/>
  <c r="AA311" i="5"/>
  <c r="AA365" i="5"/>
  <c r="AA391" i="5"/>
  <c r="AC172" i="5"/>
  <c r="AD172" i="5" s="1"/>
  <c r="AB20" i="5"/>
  <c r="AB458" i="5"/>
  <c r="AA127" i="5"/>
  <c r="AA122" i="5"/>
  <c r="AB323" i="5"/>
  <c r="AB496" i="5"/>
  <c r="AA377" i="5"/>
  <c r="AA172" i="5"/>
  <c r="AA197" i="5"/>
  <c r="AB399" i="5"/>
  <c r="AA224" i="5"/>
  <c r="AB365" i="5"/>
  <c r="AC176" i="5"/>
  <c r="AS176" i="5" s="1"/>
  <c r="AE146" i="4"/>
  <c r="AC391" i="5"/>
  <c r="AD391" i="5" s="1"/>
  <c r="AC458" i="5"/>
  <c r="AE458" i="5" s="1"/>
  <c r="AB127" i="5"/>
  <c r="AB122" i="5"/>
  <c r="AC435" i="5"/>
  <c r="AE435" i="5" s="1"/>
  <c r="AA176" i="5"/>
  <c r="AA504" i="5"/>
  <c r="AB117" i="5"/>
  <c r="AB124" i="5"/>
  <c r="AA239" i="5"/>
  <c r="AB197" i="5"/>
  <c r="AB45" i="5"/>
  <c r="AC196" i="5"/>
  <c r="AD196" i="5" s="1"/>
  <c r="AA450" i="5"/>
  <c r="AA20" i="5"/>
  <c r="AC442" i="5"/>
  <c r="AD442" i="5" s="1"/>
  <c r="AA269" i="5"/>
  <c r="AB473" i="5"/>
  <c r="AB450" i="5"/>
  <c r="AB165" i="5"/>
  <c r="AB120" i="5"/>
  <c r="AA45" i="5"/>
  <c r="AC423" i="5"/>
  <c r="AD423" i="5" s="1"/>
  <c r="AC490" i="5"/>
  <c r="AD490" i="5" s="1"/>
  <c r="AC355" i="5"/>
  <c r="AD355" i="5" s="1"/>
  <c r="AF108" i="4"/>
  <c r="AG108" i="4" s="1"/>
  <c r="AI108" i="4" s="1"/>
  <c r="AA300" i="5"/>
  <c r="AE123" i="4"/>
  <c r="AB433" i="5"/>
  <c r="AA248" i="5"/>
  <c r="AA252" i="5"/>
  <c r="AA84" i="5"/>
  <c r="AA23" i="5"/>
  <c r="AB427" i="5"/>
  <c r="AA28" i="5"/>
  <c r="AA399" i="5"/>
  <c r="AA87" i="5"/>
  <c r="AA381" i="5"/>
  <c r="AA178" i="5"/>
  <c r="AC28" i="5"/>
  <c r="AE28" i="5" s="1"/>
  <c r="AB178" i="5"/>
  <c r="AA334" i="5"/>
  <c r="AC524" i="5"/>
  <c r="AS524" i="5" s="1"/>
  <c r="AB54" i="5"/>
  <c r="AB143" i="5"/>
  <c r="AB61" i="5"/>
  <c r="AB246" i="5"/>
  <c r="AA21" i="5"/>
  <c r="AA225" i="5"/>
  <c r="AA10" i="5"/>
  <c r="AB341" i="5"/>
  <c r="AB268" i="5"/>
  <c r="AA480" i="5"/>
  <c r="AA434" i="5"/>
  <c r="AA104" i="5"/>
  <c r="AB434" i="5"/>
  <c r="AB280" i="5"/>
  <c r="AB182" i="5"/>
  <c r="AA530" i="5"/>
  <c r="AB542" i="5"/>
  <c r="X40" i="4"/>
  <c r="AJ40" i="4" s="1"/>
  <c r="AE82" i="4"/>
  <c r="AB302" i="5"/>
  <c r="AA310" i="5"/>
  <c r="AB307" i="5"/>
  <c r="AB30" i="5"/>
  <c r="AC187" i="5"/>
  <c r="AS187" i="5" s="1"/>
  <c r="AC167" i="5"/>
  <c r="AS167" i="5" s="1"/>
  <c r="AB508" i="5"/>
  <c r="AC449" i="5"/>
  <c r="AS449" i="5" s="1"/>
  <c r="AB44" i="5"/>
  <c r="AB449" i="5"/>
  <c r="AE71" i="4"/>
  <c r="AB210" i="5"/>
  <c r="AB73" i="5"/>
  <c r="AB279" i="5"/>
  <c r="AB159" i="5"/>
  <c r="AE31" i="4"/>
  <c r="AB411" i="5"/>
  <c r="AA383" i="5"/>
  <c r="AA183" i="5"/>
  <c r="AC322" i="5"/>
  <c r="AE322" i="5" s="1"/>
  <c r="AB237" i="5"/>
  <c r="AA73" i="5"/>
  <c r="AA337" i="5"/>
  <c r="AC37" i="5"/>
  <c r="AS37" i="5" s="1"/>
  <c r="AA510" i="5"/>
  <c r="AA152" i="5"/>
  <c r="AC86" i="5"/>
  <c r="AE86" i="5" s="1"/>
  <c r="AA508" i="5"/>
  <c r="AA78" i="5"/>
  <c r="AC79" i="5"/>
  <c r="AD79" i="5" s="1"/>
  <c r="AA162" i="5"/>
  <c r="AB240" i="5"/>
  <c r="AA79" i="5"/>
  <c r="AB378" i="5"/>
  <c r="AB233" i="5"/>
  <c r="AC249" i="5"/>
  <c r="AE249" i="5" s="1"/>
  <c r="AB68" i="5"/>
  <c r="AA190" i="5"/>
  <c r="AA52" i="5"/>
  <c r="AA12" i="5"/>
  <c r="AC177" i="5"/>
  <c r="AD177" i="5" s="1"/>
  <c r="AC211" i="5"/>
  <c r="AE211" i="5" s="1"/>
  <c r="AA227" i="5"/>
  <c r="AA237" i="5"/>
  <c r="AA352" i="5"/>
  <c r="AC233" i="5"/>
  <c r="AE233" i="5" s="1"/>
  <c r="AB249" i="5"/>
  <c r="AA68" i="5"/>
  <c r="AA234" i="5"/>
  <c r="AA177" i="5"/>
  <c r="AB156" i="5"/>
  <c r="AB198" i="5"/>
  <c r="AC419" i="5"/>
  <c r="AD419" i="5" s="1"/>
  <c r="AB211" i="5"/>
  <c r="AB195" i="5"/>
  <c r="AB345" i="5"/>
  <c r="AA378" i="5"/>
  <c r="AC246" i="5"/>
  <c r="AD246" i="5" s="1"/>
  <c r="AB123" i="5"/>
  <c r="AB271" i="5"/>
  <c r="AA56" i="5"/>
  <c r="AC352" i="5"/>
  <c r="AD352" i="5" s="1"/>
  <c r="AC393" i="5"/>
  <c r="AE393" i="5" s="1"/>
  <c r="AB234" i="5"/>
  <c r="AA556" i="5"/>
  <c r="AC330" i="5"/>
  <c r="AE330" i="5" s="1"/>
  <c r="AC156" i="5"/>
  <c r="AD156" i="5" s="1"/>
  <c r="AA164" i="5"/>
  <c r="AB141" i="5"/>
  <c r="AB386" i="5"/>
  <c r="AC195" i="5"/>
  <c r="AE195" i="5" s="1"/>
  <c r="AA552" i="5"/>
  <c r="AA115" i="5"/>
  <c r="AA280" i="5"/>
  <c r="AC123" i="5"/>
  <c r="AS123" i="5" s="1"/>
  <c r="AC271" i="5"/>
  <c r="AD271" i="5" s="1"/>
  <c r="AC56" i="5"/>
  <c r="AE56" i="5" s="1"/>
  <c r="AC159" i="5"/>
  <c r="AS159" i="5" s="1"/>
  <c r="AB393" i="5"/>
  <c r="AA187" i="5"/>
  <c r="AC337" i="5"/>
  <c r="AS337" i="5" s="1"/>
  <c r="AB556" i="5"/>
  <c r="AA44" i="5"/>
  <c r="AB37" i="5"/>
  <c r="AA330" i="5"/>
  <c r="AA218" i="5"/>
  <c r="AB102" i="5"/>
  <c r="AA141" i="5"/>
  <c r="AA167" i="5"/>
  <c r="AA229" i="5"/>
  <c r="AB115" i="5"/>
  <c r="AB77" i="5"/>
  <c r="AB21" i="5"/>
  <c r="AB310" i="5"/>
  <c r="AB218" i="5"/>
  <c r="AA102" i="5"/>
  <c r="AB183" i="5"/>
  <c r="AC30" i="5"/>
  <c r="AD30" i="5" s="1"/>
  <c r="AB322" i="5"/>
  <c r="AC542" i="5"/>
  <c r="AE542" i="5" s="1"/>
  <c r="AB229" i="5"/>
  <c r="AE108" i="4"/>
  <c r="X123" i="4"/>
  <c r="AJ123" i="4" s="1"/>
  <c r="AC162" i="5"/>
  <c r="AD162" i="5" s="1"/>
  <c r="AC52" i="5"/>
  <c r="AD52" i="5" s="1"/>
  <c r="AC307" i="5"/>
  <c r="AE307" i="5" s="1"/>
  <c r="AA182" i="5"/>
  <c r="AC152" i="5"/>
  <c r="AD152" i="5" s="1"/>
  <c r="AA210" i="5"/>
  <c r="AC10" i="5"/>
  <c r="AD10" i="5" s="1"/>
  <c r="AA279" i="5"/>
  <c r="AC190" i="5"/>
  <c r="AD190" i="5" s="1"/>
  <c r="AC225" i="5"/>
  <c r="AE225" i="5" s="1"/>
  <c r="AC96" i="5"/>
  <c r="AE96" i="5" s="1"/>
  <c r="AA240" i="5"/>
  <c r="AC164" i="5"/>
  <c r="AE164" i="5" s="1"/>
  <c r="AB12" i="5"/>
  <c r="AB78" i="5"/>
  <c r="AC299" i="5"/>
  <c r="AD299" i="5" s="1"/>
  <c r="AE70" i="4"/>
  <c r="AA243" i="5"/>
  <c r="AB38" i="5"/>
  <c r="AC63" i="5"/>
  <c r="AS63" i="5" s="1"/>
  <c r="AB154" i="5"/>
  <c r="AB272" i="5"/>
  <c r="AA385" i="5"/>
  <c r="AA492" i="5"/>
  <c r="AA72" i="5"/>
  <c r="AB559" i="5"/>
  <c r="AC250" i="5"/>
  <c r="AD250" i="5" s="1"/>
  <c r="AC131" i="5"/>
  <c r="AD131" i="5" s="1"/>
  <c r="AC64" i="5"/>
  <c r="AD64" i="5" s="1"/>
  <c r="AB67" i="5"/>
  <c r="AB477" i="5"/>
  <c r="AB204" i="5"/>
  <c r="AC516" i="5"/>
  <c r="AE516" i="5" s="1"/>
  <c r="AC347" i="5"/>
  <c r="AS347" i="5" s="1"/>
  <c r="AB99" i="5"/>
  <c r="AC74" i="5"/>
  <c r="AS74" i="5" s="1"/>
  <c r="AC169" i="5"/>
  <c r="AE169" i="5" s="1"/>
  <c r="AB83" i="5"/>
  <c r="AC281" i="5"/>
  <c r="AE281" i="5" s="1"/>
  <c r="AC154" i="5"/>
  <c r="AD154" i="5" s="1"/>
  <c r="AA107" i="5"/>
  <c r="AC146" i="5"/>
  <c r="AS146" i="5" s="1"/>
  <c r="AC98" i="5"/>
  <c r="AD98" i="5" s="1"/>
  <c r="AA559" i="5"/>
  <c r="AB131" i="5"/>
  <c r="AA266" i="5"/>
  <c r="AA204" i="5"/>
  <c r="AC550" i="5"/>
  <c r="AD550" i="5" s="1"/>
  <c r="AA478" i="5"/>
  <c r="AA374" i="5"/>
  <c r="AC11" i="5"/>
  <c r="AA328" i="5"/>
  <c r="AC328" i="5"/>
  <c r="AD328" i="5" s="1"/>
  <c r="AC526" i="5"/>
  <c r="AD526" i="5" s="1"/>
  <c r="AA113" i="5"/>
  <c r="AA500" i="5"/>
  <c r="AA516" i="5"/>
  <c r="AA457" i="5"/>
  <c r="AA541" i="5"/>
  <c r="AB347" i="5"/>
  <c r="AA99" i="5"/>
  <c r="AC273" i="5"/>
  <c r="AE273" i="5" s="1"/>
  <c r="AB74" i="5"/>
  <c r="AA344" i="5"/>
  <c r="AA319" i="5"/>
  <c r="AC107" i="5"/>
  <c r="AD107" i="5" s="1"/>
  <c r="AA146" i="5"/>
  <c r="AB98" i="5"/>
  <c r="AB534" i="5"/>
  <c r="AC139" i="5"/>
  <c r="AE139" i="5" s="1"/>
  <c r="AB419" i="5"/>
  <c r="AC170" i="5"/>
  <c r="AS170" i="5" s="1"/>
  <c r="AB266" i="5"/>
  <c r="AA173" i="5"/>
  <c r="AB96" i="5"/>
  <c r="AC288" i="5"/>
  <c r="AS288" i="5" s="1"/>
  <c r="AB413" i="5"/>
  <c r="AC488" i="5"/>
  <c r="AS488" i="5" s="1"/>
  <c r="AB526" i="5"/>
  <c r="AB113" i="5"/>
  <c r="AB500" i="5"/>
  <c r="AA134" i="5"/>
  <c r="AC457" i="5"/>
  <c r="AD457" i="5" s="1"/>
  <c r="AC71" i="5"/>
  <c r="AE71" i="5" s="1"/>
  <c r="AB541" i="5"/>
  <c r="AE51" i="4"/>
  <c r="AA273" i="5"/>
  <c r="AB344" i="5"/>
  <c r="AC258" i="5"/>
  <c r="AS258" i="5" s="1"/>
  <c r="AC319" i="5"/>
  <c r="AS319" i="5" s="1"/>
  <c r="AB39" i="5"/>
  <c r="AA534" i="5"/>
  <c r="AA198" i="5"/>
  <c r="AB139" i="5"/>
  <c r="AA170" i="5"/>
  <c r="AA345" i="5"/>
  <c r="AC370" i="5"/>
  <c r="AS370" i="5" s="1"/>
  <c r="AB71" i="5"/>
  <c r="AE28" i="4"/>
  <c r="AC39" i="5"/>
  <c r="AE39" i="5" s="1"/>
  <c r="AA519" i="5"/>
  <c r="AB134" i="5"/>
  <c r="AB432" i="5"/>
  <c r="AC100" i="5"/>
  <c r="AS100" i="5" s="1"/>
  <c r="AA238" i="5"/>
  <c r="AA22" i="5"/>
  <c r="AC85" i="5"/>
  <c r="AS85" i="5" s="1"/>
  <c r="AC235" i="5"/>
  <c r="AE235" i="5" s="1"/>
  <c r="AA444" i="5"/>
  <c r="AC92" i="5"/>
  <c r="AE92" i="5" s="1"/>
  <c r="AC185" i="5"/>
  <c r="AD185" i="5" s="1"/>
  <c r="AA517" i="5"/>
  <c r="AA258" i="5"/>
  <c r="AB370" i="5"/>
  <c r="AC161" i="5"/>
  <c r="AS161" i="5" s="1"/>
  <c r="AA432" i="5"/>
  <c r="AB299" i="5"/>
  <c r="AB22" i="5"/>
  <c r="AB85" i="5"/>
  <c r="AA185" i="5"/>
  <c r="AB238" i="5"/>
  <c r="AA277" i="5"/>
  <c r="AB481" i="5"/>
  <c r="AG27" i="4"/>
  <c r="AI27" i="4" s="1"/>
  <c r="AO27" i="4"/>
  <c r="AO19" i="4"/>
  <c r="AG19" i="4"/>
  <c r="AI19" i="4" s="1"/>
  <c r="AB466" i="5"/>
  <c r="AC412" i="5"/>
  <c r="AD412" i="5" s="1"/>
  <c r="AB381" i="5"/>
  <c r="AA47" i="5"/>
  <c r="AC464" i="5"/>
  <c r="AS464" i="5" s="1"/>
  <c r="AB248" i="5"/>
  <c r="AA408" i="5"/>
  <c r="AA433" i="5"/>
  <c r="AA349" i="5"/>
  <c r="AB312" i="5"/>
  <c r="AB555" i="5"/>
  <c r="AB443" i="5"/>
  <c r="AA505" i="5"/>
  <c r="AA155" i="5"/>
  <c r="AA512" i="5"/>
  <c r="AC334" i="5"/>
  <c r="AE334" i="5" s="1"/>
  <c r="AA355" i="5"/>
  <c r="AA547" i="5"/>
  <c r="AB451" i="5"/>
  <c r="AB232" i="5"/>
  <c r="AA46" i="5"/>
  <c r="AA420" i="5"/>
  <c r="AB536" i="5"/>
  <c r="AA481" i="5"/>
  <c r="AR210" i="5"/>
  <c r="AQ291" i="5"/>
  <c r="AE63" i="4"/>
  <c r="Y63" i="4"/>
  <c r="Z63" i="4" s="1"/>
  <c r="X23" i="4"/>
  <c r="AJ23" i="4" s="1"/>
  <c r="Y23" i="4"/>
  <c r="Z23" i="4" s="1"/>
  <c r="AE23" i="4"/>
  <c r="AN10" i="5"/>
  <c r="AO10" i="5"/>
  <c r="AE52" i="4"/>
  <c r="X52" i="4"/>
  <c r="AJ52" i="4" s="1"/>
  <c r="Y52" i="4"/>
  <c r="Z52" i="4" s="1"/>
  <c r="AA466" i="5"/>
  <c r="AA483" i="5"/>
  <c r="AB483" i="5"/>
  <c r="AC84" i="5"/>
  <c r="AD84" i="5" s="1"/>
  <c r="AB412" i="5"/>
  <c r="AC252" i="5"/>
  <c r="AS252" i="5" s="1"/>
  <c r="AB349" i="5"/>
  <c r="AA555" i="5"/>
  <c r="AB505" i="5"/>
  <c r="AB512" i="5"/>
  <c r="AA490" i="5"/>
  <c r="AA451" i="5"/>
  <c r="AA232" i="5"/>
  <c r="AB46" i="5"/>
  <c r="AA520" i="5"/>
  <c r="AA536" i="5"/>
  <c r="Y103" i="4"/>
  <c r="Z103" i="4" s="1"/>
  <c r="AF103" i="4" s="1"/>
  <c r="AO103" i="4" s="1"/>
  <c r="AE103" i="4"/>
  <c r="X103" i="4"/>
  <c r="AJ103" i="4" s="1"/>
  <c r="U10" i="5"/>
  <c r="V10" i="5"/>
  <c r="AE126" i="4"/>
  <c r="Y126" i="4"/>
  <c r="Z126" i="4" s="1"/>
  <c r="AE64" i="4"/>
  <c r="Y64" i="4"/>
  <c r="Z64" i="4" s="1"/>
  <c r="AE27" i="4"/>
  <c r="X128" i="4"/>
  <c r="AJ128" i="4" s="1"/>
  <c r="Y128" i="4"/>
  <c r="Z128" i="4" s="1"/>
  <c r="AE128" i="4"/>
  <c r="Y69" i="4"/>
  <c r="Z69" i="4" s="1"/>
  <c r="X69" i="4"/>
  <c r="AJ69" i="4" s="1"/>
  <c r="AE69" i="4"/>
  <c r="X93" i="4"/>
  <c r="AJ93" i="4" s="1"/>
  <c r="AE93" i="4"/>
  <c r="Y93" i="4"/>
  <c r="Z93" i="4" s="1"/>
  <c r="X45" i="4"/>
  <c r="AJ45" i="4" s="1"/>
  <c r="Y45" i="4"/>
  <c r="Z45" i="4" s="1"/>
  <c r="AF45" i="4" s="1"/>
  <c r="AG45" i="4" s="1"/>
  <c r="AI45" i="4" s="1"/>
  <c r="AE45" i="4"/>
  <c r="AE150" i="4"/>
  <c r="Y150" i="4"/>
  <c r="Z150" i="4" s="1"/>
  <c r="X68" i="4"/>
  <c r="AJ68" i="4" s="1"/>
  <c r="AE68" i="4"/>
  <c r="Y68" i="4"/>
  <c r="Z68" i="4" s="1"/>
  <c r="AF68" i="4" s="1"/>
  <c r="AG68" i="4" s="1"/>
  <c r="AI68" i="4" s="1"/>
  <c r="AH10" i="5"/>
  <c r="AI10" i="5"/>
  <c r="AA89" i="5"/>
  <c r="AA308" i="5"/>
  <c r="AA58" i="5"/>
  <c r="AB493" i="5"/>
  <c r="AA423" i="5"/>
  <c r="AA454" i="5"/>
  <c r="AC358" i="5"/>
  <c r="AE358" i="5" s="1"/>
  <c r="AA418" i="5"/>
  <c r="AA395" i="5"/>
  <c r="AB474" i="5"/>
  <c r="AB524" i="5"/>
  <c r="AC527" i="5"/>
  <c r="AE527" i="5" s="1"/>
  <c r="AA489" i="5"/>
  <c r="AA193" i="5"/>
  <c r="AQ181" i="5"/>
  <c r="X38" i="4"/>
  <c r="AJ38" i="4" s="1"/>
  <c r="Y38" i="4"/>
  <c r="Z38" i="4" s="1"/>
  <c r="AE38" i="4"/>
  <c r="X134" i="4"/>
  <c r="AJ134" i="4" s="1"/>
  <c r="Y134" i="4"/>
  <c r="Z134" i="4" s="1"/>
  <c r="AE134" i="4"/>
  <c r="R10" i="5"/>
  <c r="S10" i="5"/>
  <c r="Y137" i="4"/>
  <c r="Z137" i="4" s="1"/>
  <c r="X137" i="4"/>
  <c r="AJ137" i="4" s="1"/>
  <c r="AE137" i="4"/>
  <c r="AE44" i="4"/>
  <c r="AA286" i="5"/>
  <c r="AB300" i="5"/>
  <c r="AC286" i="5"/>
  <c r="AS286" i="5" s="1"/>
  <c r="AC467" i="5"/>
  <c r="AS467" i="5" s="1"/>
  <c r="AB342" i="5"/>
  <c r="AC89" i="5"/>
  <c r="AD89" i="5" s="1"/>
  <c r="AB439" i="5"/>
  <c r="AB308" i="5"/>
  <c r="AC535" i="5"/>
  <c r="AD535" i="5" s="1"/>
  <c r="AC144" i="5"/>
  <c r="AS144" i="5" s="1"/>
  <c r="AB58" i="5"/>
  <c r="AC397" i="5"/>
  <c r="AS397" i="5" s="1"/>
  <c r="AC493" i="5"/>
  <c r="AD493" i="5" s="1"/>
  <c r="AC454" i="5"/>
  <c r="AS454" i="5" s="1"/>
  <c r="AA324" i="5"/>
  <c r="AA358" i="5"/>
  <c r="AB147" i="5"/>
  <c r="AC418" i="5"/>
  <c r="AD418" i="5" s="1"/>
  <c r="AB395" i="5"/>
  <c r="AB558" i="5"/>
  <c r="AC474" i="5"/>
  <c r="AD474" i="5" s="1"/>
  <c r="AC373" i="5"/>
  <c r="AS373" i="5" s="1"/>
  <c r="AB527" i="5"/>
  <c r="AC489" i="5"/>
  <c r="AS489" i="5" s="1"/>
  <c r="AB446" i="5"/>
  <c r="AC448" i="5"/>
  <c r="AS448" i="5" s="1"/>
  <c r="AC340" i="5"/>
  <c r="AD340" i="5" s="1"/>
  <c r="AB144" i="5"/>
  <c r="X108" i="4"/>
  <c r="Y8" i="4"/>
  <c r="Z8" i="4" s="1"/>
  <c r="AE8" i="4"/>
  <c r="X8" i="4"/>
  <c r="AJ8" i="4" s="1"/>
  <c r="X27" i="4"/>
  <c r="X70" i="4"/>
  <c r="AB34" i="5"/>
  <c r="AA467" i="5"/>
  <c r="AA342" i="5"/>
  <c r="AB485" i="5"/>
  <c r="AC439" i="5"/>
  <c r="AE439" i="5" s="1"/>
  <c r="AB325" i="5"/>
  <c r="AB535" i="5"/>
  <c r="AC367" i="5"/>
  <c r="AE367" i="5" s="1"/>
  <c r="AA415" i="5"/>
  <c r="AA397" i="5"/>
  <c r="AC324" i="5"/>
  <c r="AS324" i="5" s="1"/>
  <c r="AA147" i="5"/>
  <c r="AA558" i="5"/>
  <c r="AB109" i="5"/>
  <c r="AA373" i="5"/>
  <c r="AA446" i="5"/>
  <c r="AB448" i="5"/>
  <c r="AA340" i="5"/>
  <c r="AR94" i="5"/>
  <c r="Y157" i="4"/>
  <c r="Z157" i="4" s="1"/>
  <c r="AE157" i="4"/>
  <c r="X19" i="4"/>
  <c r="AJ19" i="4" s="1"/>
  <c r="AA184" i="5"/>
  <c r="AC485" i="5"/>
  <c r="AS485" i="5" s="1"/>
  <c r="AA325" i="5"/>
  <c r="AC47" i="5"/>
  <c r="AE47" i="5" s="1"/>
  <c r="AB367" i="5"/>
  <c r="AC415" i="5"/>
  <c r="AE415" i="5" s="1"/>
  <c r="AB464" i="5"/>
  <c r="AC408" i="5"/>
  <c r="AS408" i="5" s="1"/>
  <c r="AC312" i="5"/>
  <c r="AS312" i="5" s="1"/>
  <c r="AC443" i="5"/>
  <c r="AE443" i="5" s="1"/>
  <c r="AC109" i="5"/>
  <c r="AS109" i="5" s="1"/>
  <c r="AC547" i="5"/>
  <c r="AE547" i="5" s="1"/>
  <c r="AE43" i="4"/>
  <c r="AA81" i="5"/>
  <c r="Y77" i="4"/>
  <c r="Z77" i="4" s="1"/>
  <c r="AE77" i="4"/>
  <c r="AE86" i="4"/>
  <c r="X86" i="4"/>
  <c r="AJ86" i="4" s="1"/>
  <c r="Y86" i="4"/>
  <c r="Z86" i="4" s="1"/>
  <c r="AE19" i="4"/>
  <c r="AB184" i="5"/>
  <c r="AB81" i="5"/>
  <c r="X63" i="4"/>
  <c r="AJ63" i="4" s="1"/>
  <c r="X10" i="5"/>
  <c r="Y10" i="5"/>
  <c r="Y116" i="4"/>
  <c r="Z116" i="4" s="1"/>
  <c r="AE116" i="4"/>
  <c r="X71" i="4"/>
  <c r="AJ71" i="4" s="1"/>
  <c r="AG40" i="4"/>
  <c r="AI40" i="4" s="1"/>
  <c r="AO40" i="4"/>
  <c r="X116" i="4"/>
  <c r="AC192" i="5"/>
  <c r="AS192" i="5" s="1"/>
  <c r="AB242" i="5"/>
  <c r="AC549" i="5"/>
  <c r="AD549" i="5" s="1"/>
  <c r="AA145" i="5"/>
  <c r="AB145" i="5"/>
  <c r="AC149" i="5"/>
  <c r="AS149" i="5" s="1"/>
  <c r="AA264" i="5"/>
  <c r="AA528" i="5"/>
  <c r="AB51" i="5"/>
  <c r="AA476" i="5"/>
  <c r="AA33" i="5"/>
  <c r="AC445" i="5"/>
  <c r="AS445" i="5" s="1"/>
  <c r="AA553" i="5"/>
  <c r="AB24" i="5"/>
  <c r="AA398" i="5"/>
  <c r="AC88" i="5"/>
  <c r="AE88" i="5" s="1"/>
  <c r="AC368" i="5"/>
  <c r="AD368" i="5" s="1"/>
  <c r="AB406" i="5"/>
  <c r="AA497" i="5"/>
  <c r="AA136" i="5"/>
  <c r="AC431" i="5"/>
  <c r="AD431" i="5" s="1"/>
  <c r="AC519" i="5"/>
  <c r="AD519" i="5" s="1"/>
  <c r="AB191" i="5"/>
  <c r="AC484" i="5"/>
  <c r="AS484" i="5" s="1"/>
  <c r="AC461" i="5"/>
  <c r="AS461" i="5" s="1"/>
  <c r="AC207" i="5"/>
  <c r="AD207" i="5" s="1"/>
  <c r="AB41" i="5"/>
  <c r="AC538" i="5"/>
  <c r="AS538" i="5" s="1"/>
  <c r="AB200" i="5"/>
  <c r="AA314" i="5"/>
  <c r="AC61" i="5"/>
  <c r="AD61" i="5" s="1"/>
  <c r="AB215" i="5"/>
  <c r="AC87" i="5"/>
  <c r="AS87" i="5" s="1"/>
  <c r="AA67" i="5"/>
  <c r="AA126" i="5"/>
  <c r="AB384" i="5"/>
  <c r="AC503" i="5"/>
  <c r="AE503" i="5" s="1"/>
  <c r="AB264" i="5"/>
  <c r="AA153" i="5"/>
  <c r="AB110" i="5"/>
  <c r="AB316" i="5"/>
  <c r="AB437" i="5"/>
  <c r="AA148" i="5"/>
  <c r="AB476" i="5"/>
  <c r="AB33" i="5"/>
  <c r="AA138" i="5"/>
  <c r="AB76" i="5"/>
  <c r="AA24" i="5"/>
  <c r="AB88" i="5"/>
  <c r="AC510" i="5"/>
  <c r="AD510" i="5" s="1"/>
  <c r="AC545" i="5"/>
  <c r="AD545" i="5" s="1"/>
  <c r="AB459" i="5"/>
  <c r="AB40" i="5"/>
  <c r="AC91" i="5"/>
  <c r="AS91" i="5" s="1"/>
  <c r="AB136" i="5"/>
  <c r="AC191" i="5"/>
  <c r="AE191" i="5" s="1"/>
  <c r="AA484" i="5"/>
  <c r="AA461" i="5"/>
  <c r="AA207" i="5"/>
  <c r="AC276" i="5"/>
  <c r="AD276" i="5" s="1"/>
  <c r="AA538" i="5"/>
  <c r="AB173" i="5"/>
  <c r="AB388" i="5"/>
  <c r="AB126" i="5"/>
  <c r="B112" i="2"/>
  <c r="B154" i="2" s="1"/>
  <c r="H40" i="1" s="1"/>
  <c r="AB9" i="5"/>
  <c r="AA9" i="5"/>
  <c r="AC9" i="5"/>
  <c r="AC118" i="5"/>
  <c r="AS118" i="5" s="1"/>
  <c r="AB219" i="5"/>
  <c r="AC212" i="5"/>
  <c r="AS212" i="5" s="1"/>
  <c r="AA503" i="5"/>
  <c r="AA549" i="5"/>
  <c r="AC531" i="5"/>
  <c r="AD531" i="5" s="1"/>
  <c r="AB350" i="5"/>
  <c r="AC487" i="5"/>
  <c r="AD487" i="5" s="1"/>
  <c r="AA422" i="5"/>
  <c r="AA482" i="5"/>
  <c r="AA468" i="5"/>
  <c r="AA479" i="5"/>
  <c r="AA518" i="5"/>
  <c r="AB530" i="5"/>
  <c r="AA515" i="5"/>
  <c r="AC256" i="5"/>
  <c r="AS256" i="5" s="1"/>
  <c r="AA531" i="5"/>
  <c r="AC557" i="5"/>
  <c r="AS557" i="5" s="1"/>
  <c r="AA364" i="5"/>
  <c r="AC372" i="5"/>
  <c r="AE372" i="5" s="1"/>
  <c r="AB479" i="5"/>
  <c r="AA192" i="5"/>
  <c r="AC242" i="5"/>
  <c r="AD242" i="5" s="1"/>
  <c r="AB507" i="5"/>
  <c r="AA75" i="5"/>
  <c r="AC130" i="5"/>
  <c r="AS130" i="5" s="1"/>
  <c r="AB557" i="5"/>
  <c r="AC554" i="5"/>
  <c r="AS554" i="5" s="1"/>
  <c r="AB216" i="5"/>
  <c r="AA35" i="5"/>
  <c r="AB482" i="5"/>
  <c r="AA250" i="5"/>
  <c r="AC364" i="5"/>
  <c r="AE364" i="5" s="1"/>
  <c r="AA57" i="5"/>
  <c r="AA372" i="5"/>
  <c r="AC389" i="5"/>
  <c r="AE389" i="5" s="1"/>
  <c r="AA212" i="5"/>
  <c r="AB285" i="5"/>
  <c r="AB389" i="5"/>
  <c r="AA285" i="5"/>
  <c r="AA257" i="5"/>
  <c r="AB528" i="5"/>
  <c r="AC507" i="5"/>
  <c r="AD507" i="5" s="1"/>
  <c r="AB75" i="5"/>
  <c r="AB130" i="5"/>
  <c r="AC51" i="5"/>
  <c r="AE51" i="5" s="1"/>
  <c r="AB554" i="5"/>
  <c r="AA216" i="5"/>
  <c r="AB398" i="5"/>
  <c r="B118" i="2"/>
  <c r="B99" i="2" s="1"/>
  <c r="B119" i="2" s="1"/>
  <c r="AB35" i="5"/>
  <c r="AC497" i="5"/>
  <c r="AE497" i="5" s="1"/>
  <c r="AC41" i="5"/>
  <c r="AD41" i="5" s="1"/>
  <c r="AC57" i="5"/>
  <c r="AD57" i="5" s="1"/>
  <c r="AC215" i="5"/>
  <c r="AS215" i="5" s="1"/>
  <c r="AB257" i="5"/>
  <c r="AA200" i="5"/>
  <c r="AE92" i="4"/>
  <c r="AE136" i="4"/>
  <c r="X99" i="4"/>
  <c r="AJ99" i="4" s="1"/>
  <c r="X74" i="4"/>
  <c r="AJ74" i="4" s="1"/>
  <c r="X151" i="4"/>
  <c r="AJ151" i="4" s="1"/>
  <c r="AE53" i="4"/>
  <c r="B115" i="2"/>
  <c r="B96" i="2" s="1"/>
  <c r="B116" i="2" s="1"/>
  <c r="AE87" i="4"/>
  <c r="X117" i="4"/>
  <c r="AJ117" i="4" s="1"/>
  <c r="AE147" i="4"/>
  <c r="X124" i="4"/>
  <c r="AJ124" i="4" s="1"/>
  <c r="X122" i="4"/>
  <c r="AJ122" i="4" s="1"/>
  <c r="AE114" i="4"/>
  <c r="AE50" i="4"/>
  <c r="AE13" i="4"/>
  <c r="X65" i="4"/>
  <c r="AJ65" i="4" s="1"/>
  <c r="X82" i="4"/>
  <c r="AJ82" i="4" s="1"/>
  <c r="X13" i="4"/>
  <c r="AJ13" i="4" s="1"/>
  <c r="AE36" i="4"/>
  <c r="AE89" i="4"/>
  <c r="X89" i="4"/>
  <c r="AJ89" i="4" s="1"/>
  <c r="AE120" i="4"/>
  <c r="X51" i="4"/>
  <c r="AJ51" i="4" s="1"/>
  <c r="AF17" i="4"/>
  <c r="AG17" i="4" s="1"/>
  <c r="AI17" i="4" s="1"/>
  <c r="AF139" i="4"/>
  <c r="AO139" i="4" s="1"/>
  <c r="AF114" i="4"/>
  <c r="AO114" i="4" s="1"/>
  <c r="X41" i="4"/>
  <c r="AK41" i="4" s="1"/>
  <c r="AE97" i="4"/>
  <c r="X153" i="4"/>
  <c r="AJ153" i="4" s="1"/>
  <c r="X92" i="4"/>
  <c r="AJ92" i="4" s="1"/>
  <c r="X114" i="4"/>
  <c r="AJ114" i="4" s="1"/>
  <c r="AE117" i="4"/>
  <c r="AE41" i="4"/>
  <c r="AE17" i="4"/>
  <c r="AE33" i="4"/>
  <c r="AE113" i="4"/>
  <c r="X104" i="4"/>
  <c r="AK104" i="4" s="1"/>
  <c r="X25" i="4"/>
  <c r="X138" i="4"/>
  <c r="AJ138" i="4" s="1"/>
  <c r="X97" i="4"/>
  <c r="AJ97" i="4" s="1"/>
  <c r="X120" i="4"/>
  <c r="AJ120" i="4" s="1"/>
  <c r="AA98" i="4"/>
  <c r="AC98" i="4" s="1"/>
  <c r="AD98" i="4" s="1"/>
  <c r="AE151" i="4"/>
  <c r="X136" i="4"/>
  <c r="AJ136" i="4" s="1"/>
  <c r="Z120" i="4"/>
  <c r="Z60" i="4"/>
  <c r="AF60" i="4" s="1"/>
  <c r="X17" i="4"/>
  <c r="AJ17" i="4" s="1"/>
  <c r="B76" i="2"/>
  <c r="X113" i="4"/>
  <c r="AJ113" i="4" s="1"/>
  <c r="AG98" i="4"/>
  <c r="AI98" i="4" s="1"/>
  <c r="AG89" i="4"/>
  <c r="AI89" i="4" s="1"/>
  <c r="AO89" i="4"/>
  <c r="AG82" i="4"/>
  <c r="AI82" i="4" s="1"/>
  <c r="AO82" i="4"/>
  <c r="AF11" i="4"/>
  <c r="AG78" i="4"/>
  <c r="AI78" i="4" s="1"/>
  <c r="AO78" i="4"/>
  <c r="AQ484" i="5"/>
  <c r="AR484" i="5"/>
  <c r="AQ500" i="5"/>
  <c r="AR500" i="5"/>
  <c r="AR347" i="5"/>
  <c r="AQ347" i="5"/>
  <c r="AQ341" i="5"/>
  <c r="AR341" i="5"/>
  <c r="AQ409" i="5"/>
  <c r="AR409" i="5"/>
  <c r="AR61" i="5"/>
  <c r="AQ61" i="5"/>
  <c r="B81" i="2"/>
  <c r="B82" i="2" s="1"/>
  <c r="H22" i="1" s="1"/>
  <c r="AR102" i="5"/>
  <c r="AQ102" i="5"/>
  <c r="AR120" i="5"/>
  <c r="AQ120" i="5"/>
  <c r="X32" i="4"/>
  <c r="AQ53" i="5"/>
  <c r="AR53" i="5"/>
  <c r="AR515" i="5"/>
  <c r="AQ515" i="5"/>
  <c r="AQ293" i="5"/>
  <c r="AR293" i="5"/>
  <c r="AR559" i="5"/>
  <c r="AQ559" i="5"/>
  <c r="AE131" i="4"/>
  <c r="AR8" i="5"/>
  <c r="AQ8" i="5"/>
  <c r="AQ223" i="5"/>
  <c r="AR223" i="5"/>
  <c r="AF156" i="4"/>
  <c r="AQ200" i="5"/>
  <c r="AR200" i="5"/>
  <c r="AQ519" i="5"/>
  <c r="AR519" i="5"/>
  <c r="AQ106" i="5"/>
  <c r="AR106" i="5"/>
  <c r="AQ289" i="5"/>
  <c r="AR289" i="5"/>
  <c r="AR235" i="5"/>
  <c r="AQ235" i="5"/>
  <c r="AQ343" i="5"/>
  <c r="AR343" i="5"/>
  <c r="AR456" i="5"/>
  <c r="AQ456" i="5"/>
  <c r="AQ96" i="5"/>
  <c r="AR96" i="5"/>
  <c r="AQ203" i="5"/>
  <c r="AR203" i="5"/>
  <c r="AR553" i="5"/>
  <c r="AQ553" i="5"/>
  <c r="AR151" i="5"/>
  <c r="AQ151" i="5"/>
  <c r="AQ424" i="5"/>
  <c r="AR424" i="5"/>
  <c r="AQ464" i="5"/>
  <c r="AR464" i="5"/>
  <c r="AQ320" i="5"/>
  <c r="AR320" i="5"/>
  <c r="AQ504" i="5"/>
  <c r="AR504" i="5"/>
  <c r="AQ137" i="5"/>
  <c r="AR137" i="5"/>
  <c r="AQ393" i="5"/>
  <c r="AR393" i="5"/>
  <c r="AR391" i="5"/>
  <c r="AQ391" i="5"/>
  <c r="AR268" i="5"/>
  <c r="AQ268" i="5"/>
  <c r="AQ400" i="5"/>
  <c r="AR400" i="5"/>
  <c r="AF154" i="4"/>
  <c r="AR303" i="5"/>
  <c r="AQ303" i="5"/>
  <c r="AQ32" i="5"/>
  <c r="AR32" i="5"/>
  <c r="AR523" i="5"/>
  <c r="AQ523" i="5"/>
  <c r="AF13" i="4"/>
  <c r="AR242" i="5"/>
  <c r="AQ242" i="5"/>
  <c r="X119" i="4"/>
  <c r="AA119" i="4" s="1"/>
  <c r="AC119" i="4" s="1"/>
  <c r="AD119" i="4" s="1"/>
  <c r="AQ538" i="5"/>
  <c r="AR538" i="5"/>
  <c r="AQ505" i="5"/>
  <c r="AR505" i="5"/>
  <c r="AQ408" i="5"/>
  <c r="AR408" i="5"/>
  <c r="AQ468" i="5"/>
  <c r="AR468" i="5"/>
  <c r="AQ208" i="5"/>
  <c r="AR208" i="5"/>
  <c r="AE11" i="4"/>
  <c r="AR508" i="5"/>
  <c r="AQ508" i="5"/>
  <c r="AR532" i="5"/>
  <c r="AQ532" i="5"/>
  <c r="AR443" i="5"/>
  <c r="AQ443" i="5"/>
  <c r="AE153" i="4"/>
  <c r="AF33" i="4"/>
  <c r="AQ480" i="5"/>
  <c r="AR480" i="5"/>
  <c r="AR111" i="5"/>
  <c r="AQ111" i="5"/>
  <c r="AQ180" i="5"/>
  <c r="AR180" i="5"/>
  <c r="AR503" i="5"/>
  <c r="AQ503" i="5"/>
  <c r="AQ156" i="5"/>
  <c r="AR156" i="5"/>
  <c r="AR99" i="5"/>
  <c r="AQ99" i="5"/>
  <c r="AQ358" i="5"/>
  <c r="AR358" i="5"/>
  <c r="AQ439" i="5"/>
  <c r="AR439" i="5"/>
  <c r="AQ509" i="5"/>
  <c r="AR509" i="5"/>
  <c r="AQ230" i="5"/>
  <c r="AR230" i="5"/>
  <c r="AR115" i="5"/>
  <c r="AQ115" i="5"/>
  <c r="AQ256" i="5"/>
  <c r="AR256" i="5"/>
  <c r="AR546" i="5"/>
  <c r="AQ546" i="5"/>
  <c r="AQ207" i="5"/>
  <c r="AR207" i="5"/>
  <c r="AE90" i="4"/>
  <c r="AQ466" i="5"/>
  <c r="AR466" i="5"/>
  <c r="Y13" i="5"/>
  <c r="X13" i="5"/>
  <c r="AO112" i="4"/>
  <c r="AG112" i="4"/>
  <c r="AI112" i="4" s="1"/>
  <c r="AR265" i="5"/>
  <c r="AQ265" i="5"/>
  <c r="AR107" i="5"/>
  <c r="AQ107" i="5"/>
  <c r="AQ367" i="5"/>
  <c r="AR367" i="5"/>
  <c r="AR286" i="5"/>
  <c r="AQ286" i="5"/>
  <c r="AQ228" i="5"/>
  <c r="AR228" i="5"/>
  <c r="AR266" i="5"/>
  <c r="AQ266" i="5"/>
  <c r="AR248" i="5"/>
  <c r="AQ248" i="5"/>
  <c r="AR168" i="5"/>
  <c r="AQ168" i="5"/>
  <c r="AR427" i="5"/>
  <c r="AQ427" i="5"/>
  <c r="AG36" i="4"/>
  <c r="AI36" i="4" s="1"/>
  <c r="AO36" i="4"/>
  <c r="AQ399" i="5"/>
  <c r="AR399" i="5"/>
  <c r="AR164" i="5"/>
  <c r="AQ164" i="5"/>
  <c r="AQ329" i="5"/>
  <c r="AR329" i="5"/>
  <c r="AR63" i="5"/>
  <c r="AQ63" i="5"/>
  <c r="AR123" i="5"/>
  <c r="AQ123" i="5"/>
  <c r="AQ534" i="5"/>
  <c r="AR534" i="5"/>
  <c r="AR376" i="5"/>
  <c r="AQ376" i="5"/>
  <c r="AR28" i="5"/>
  <c r="AQ28" i="5"/>
  <c r="AQ526" i="5"/>
  <c r="AR526" i="5"/>
  <c r="AQ472" i="5"/>
  <c r="AR472" i="5"/>
  <c r="AR275" i="5"/>
  <c r="AQ275" i="5"/>
  <c r="AR198" i="5"/>
  <c r="AQ198" i="5"/>
  <c r="AG136" i="4"/>
  <c r="AI136" i="4" s="1"/>
  <c r="AO136" i="4"/>
  <c r="AQ482" i="5"/>
  <c r="AR482" i="5"/>
  <c r="AQ75" i="5"/>
  <c r="AR75" i="5"/>
  <c r="AQ170" i="5"/>
  <c r="AR170" i="5"/>
  <c r="AQ139" i="5"/>
  <c r="AR139" i="5"/>
  <c r="AG41" i="4"/>
  <c r="AI41" i="4" s="1"/>
  <c r="AO41" i="4"/>
  <c r="AQ529" i="5"/>
  <c r="AR529" i="5"/>
  <c r="AE115" i="4"/>
  <c r="AQ403" i="5"/>
  <c r="AR403" i="5"/>
  <c r="AR389" i="5"/>
  <c r="AQ389" i="5"/>
  <c r="AR352" i="5"/>
  <c r="AQ352" i="5"/>
  <c r="AR555" i="5"/>
  <c r="AQ555" i="5"/>
  <c r="AR366" i="5"/>
  <c r="AQ366" i="5"/>
  <c r="X156" i="4"/>
  <c r="AA156" i="4" s="1"/>
  <c r="AC156" i="4" s="1"/>
  <c r="AD156" i="4" s="1"/>
  <c r="AQ458" i="5"/>
  <c r="AR458" i="5"/>
  <c r="AQ297" i="5"/>
  <c r="AR297" i="5"/>
  <c r="AQ84" i="5"/>
  <c r="AR84" i="5"/>
  <c r="AQ249" i="5"/>
  <c r="AR249" i="5"/>
  <c r="AR27" i="5"/>
  <c r="AQ27" i="5"/>
  <c r="AQ271" i="5"/>
  <c r="AR271" i="5"/>
  <c r="X16" i="4"/>
  <c r="AJ16" i="4" s="1"/>
  <c r="AQ294" i="5"/>
  <c r="AR294" i="5"/>
  <c r="AR149" i="5"/>
  <c r="AQ149" i="5"/>
  <c r="AR197" i="5"/>
  <c r="AQ197" i="5"/>
  <c r="AR52" i="5"/>
  <c r="AQ52" i="5"/>
  <c r="AQ373" i="5"/>
  <c r="AR373" i="5"/>
  <c r="AQ469" i="5"/>
  <c r="AR469" i="5"/>
  <c r="AR253" i="5"/>
  <c r="AQ253" i="5"/>
  <c r="AR100" i="5"/>
  <c r="AQ100" i="5"/>
  <c r="AL13" i="5"/>
  <c r="AK13" i="5"/>
  <c r="AQ76" i="5"/>
  <c r="AR76" i="5"/>
  <c r="AF153" i="4"/>
  <c r="AR224" i="5"/>
  <c r="AQ224" i="5"/>
  <c r="AQ55" i="5"/>
  <c r="AR55" i="5"/>
  <c r="AQ336" i="5"/>
  <c r="AR336" i="5"/>
  <c r="AR288" i="5"/>
  <c r="AQ288" i="5"/>
  <c r="AF50" i="4"/>
  <c r="AE107" i="4"/>
  <c r="AR85" i="5"/>
  <c r="AQ85" i="5"/>
  <c r="AR501" i="5"/>
  <c r="AQ501" i="5"/>
  <c r="X53" i="4"/>
  <c r="AA53" i="4" s="1"/>
  <c r="AC53" i="4" s="1"/>
  <c r="AD53" i="4" s="1"/>
  <c r="AQ251" i="5"/>
  <c r="AR251" i="5"/>
  <c r="AQ236" i="5"/>
  <c r="AR236" i="5"/>
  <c r="AR243" i="5"/>
  <c r="AQ243" i="5"/>
  <c r="AR471" i="5"/>
  <c r="AQ471" i="5"/>
  <c r="AQ435" i="5"/>
  <c r="AR435" i="5"/>
  <c r="AQ213" i="5"/>
  <c r="AR213" i="5"/>
  <c r="AQ513" i="5"/>
  <c r="AR513" i="5"/>
  <c r="AE32" i="4"/>
  <c r="AR334" i="5"/>
  <c r="AQ334" i="5"/>
  <c r="AQ395" i="5"/>
  <c r="AR395" i="5"/>
  <c r="AO13" i="5"/>
  <c r="AN13" i="5"/>
  <c r="AQ323" i="5"/>
  <c r="AR323" i="5"/>
  <c r="AO53" i="4"/>
  <c r="AG53" i="4"/>
  <c r="AI53" i="4" s="1"/>
  <c r="AR292" i="5"/>
  <c r="AQ292" i="5"/>
  <c r="AQ499" i="5"/>
  <c r="AR499" i="5"/>
  <c r="Z32" i="4"/>
  <c r="AQ33" i="5"/>
  <c r="AR33" i="5"/>
  <c r="AR331" i="5"/>
  <c r="AQ331" i="5"/>
  <c r="AQ537" i="5"/>
  <c r="AR537" i="5"/>
  <c r="AQ91" i="5"/>
  <c r="AR91" i="5"/>
  <c r="AQ161" i="5"/>
  <c r="AR161" i="5"/>
  <c r="AQ163" i="5"/>
  <c r="AR163" i="5"/>
  <c r="AQ272" i="5"/>
  <c r="AR272" i="5"/>
  <c r="AR31" i="5"/>
  <c r="AQ31" i="5"/>
  <c r="AQ349" i="5"/>
  <c r="AR349" i="5"/>
  <c r="AQ206" i="5"/>
  <c r="AR206" i="5"/>
  <c r="AR425" i="5"/>
  <c r="AQ425" i="5"/>
  <c r="AQ195" i="5"/>
  <c r="AR195" i="5"/>
  <c r="AQ29" i="5"/>
  <c r="AR29" i="5"/>
  <c r="AR108" i="5"/>
  <c r="AQ108" i="5"/>
  <c r="AR41" i="5"/>
  <c r="AQ41" i="5"/>
  <c r="AF56" i="4"/>
  <c r="X110" i="4"/>
  <c r="AA110" i="4" s="1"/>
  <c r="AC110" i="4" s="1"/>
  <c r="AD110" i="4" s="1"/>
  <c r="X121" i="4"/>
  <c r="AA121" i="4" s="1"/>
  <c r="AC121" i="4" s="1"/>
  <c r="AD121" i="4" s="1"/>
  <c r="X115" i="4"/>
  <c r="AF107" i="4"/>
  <c r="AR449" i="5"/>
  <c r="AQ449" i="5"/>
  <c r="AQ473" i="5"/>
  <c r="AR473" i="5"/>
  <c r="AQ136" i="5"/>
  <c r="AR136" i="5"/>
  <c r="AQ441" i="5"/>
  <c r="AR441" i="5"/>
  <c r="AQ361" i="5"/>
  <c r="AR361" i="5"/>
  <c r="AQ430" i="5"/>
  <c r="AR430" i="5"/>
  <c r="AR113" i="5"/>
  <c r="AQ113" i="5"/>
  <c r="AR240" i="5"/>
  <c r="AQ240" i="5"/>
  <c r="AQ285" i="5"/>
  <c r="AR285" i="5"/>
  <c r="AQ263" i="5"/>
  <c r="AR263" i="5"/>
  <c r="AR154" i="5"/>
  <c r="AQ154" i="5"/>
  <c r="AQ124" i="5"/>
  <c r="AR124" i="5"/>
  <c r="X11" i="4"/>
  <c r="AJ11" i="4" s="1"/>
  <c r="AR40" i="5"/>
  <c r="AQ40" i="5"/>
  <c r="Z131" i="4"/>
  <c r="AF131" i="4" s="1"/>
  <c r="AR363" i="5"/>
  <c r="AQ363" i="5"/>
  <c r="AB13" i="5"/>
  <c r="AA13" i="5"/>
  <c r="AQ549" i="5"/>
  <c r="AR549" i="5"/>
  <c r="X146" i="4"/>
  <c r="AA146" i="4" s="1"/>
  <c r="AC146" i="4" s="1"/>
  <c r="AD146" i="4" s="1"/>
  <c r="AE104" i="4"/>
  <c r="AQ446" i="5"/>
  <c r="AR446" i="5"/>
  <c r="AR543" i="5"/>
  <c r="AQ543" i="5"/>
  <c r="AF138" i="4"/>
  <c r="AF122" i="4"/>
  <c r="AE124" i="4"/>
  <c r="AQ414" i="5"/>
  <c r="AR414" i="5"/>
  <c r="AQ407" i="5"/>
  <c r="AR407" i="5"/>
  <c r="AR215" i="5"/>
  <c r="AQ215" i="5"/>
  <c r="AE154" i="4"/>
  <c r="AQ431" i="5"/>
  <c r="AR431" i="5"/>
  <c r="AR7" i="5"/>
  <c r="AQ7" i="5"/>
  <c r="Z90" i="4"/>
  <c r="AF90" i="4" s="1"/>
  <c r="AR369" i="5"/>
  <c r="AQ369" i="5"/>
  <c r="AR177" i="5"/>
  <c r="AQ177" i="5"/>
  <c r="AR46" i="5"/>
  <c r="AQ46" i="5"/>
  <c r="AR80" i="5"/>
  <c r="AQ80" i="5"/>
  <c r="AQ362" i="5"/>
  <c r="AR362" i="5"/>
  <c r="AE65" i="4"/>
  <c r="AR411" i="5"/>
  <c r="AQ411" i="5"/>
  <c r="AQ97" i="5"/>
  <c r="AR97" i="5"/>
  <c r="AQ90" i="5"/>
  <c r="AR90" i="5"/>
  <c r="AQ19" i="5"/>
  <c r="AR19" i="5"/>
  <c r="AR308" i="5"/>
  <c r="AQ308" i="5"/>
  <c r="AQ188" i="5"/>
  <c r="AR188" i="5"/>
  <c r="AE110" i="4"/>
  <c r="AR121" i="5"/>
  <c r="AQ121" i="5"/>
  <c r="AQ241" i="5"/>
  <c r="AR241" i="5"/>
  <c r="X42" i="4"/>
  <c r="AQ311" i="5"/>
  <c r="AR311" i="5"/>
  <c r="AR193" i="5"/>
  <c r="AQ193" i="5"/>
  <c r="AQ445" i="5"/>
  <c r="AR445" i="5"/>
  <c r="S13" i="5"/>
  <c r="R13" i="5"/>
  <c r="AQ269" i="5"/>
  <c r="AR269" i="5"/>
  <c r="AQ209" i="5"/>
  <c r="AR209" i="5"/>
  <c r="AQ433" i="5"/>
  <c r="AR433" i="5"/>
  <c r="AQ412" i="5"/>
  <c r="AR412" i="5"/>
  <c r="AQ322" i="5"/>
  <c r="AR322" i="5"/>
  <c r="AR514" i="5"/>
  <c r="AQ514" i="5"/>
  <c r="AE112" i="4"/>
  <c r="AE78" i="4"/>
  <c r="Z113" i="4"/>
  <c r="AF113" i="4" s="1"/>
  <c r="AR152" i="5"/>
  <c r="AQ152" i="5"/>
  <c r="AQ95" i="5"/>
  <c r="AR95" i="5"/>
  <c r="AR479" i="5"/>
  <c r="AQ479" i="5"/>
  <c r="AQ502" i="5"/>
  <c r="AR502" i="5"/>
  <c r="AQ518" i="5"/>
  <c r="AR518" i="5"/>
  <c r="AQ167" i="5"/>
  <c r="AR167" i="5"/>
  <c r="AE42" i="4"/>
  <c r="AF28" i="4"/>
  <c r="AQ442" i="5"/>
  <c r="AR442" i="5"/>
  <c r="AQ59" i="5"/>
  <c r="AR59" i="5"/>
  <c r="AR277" i="5"/>
  <c r="AQ277" i="5"/>
  <c r="AQ221" i="5"/>
  <c r="AR221" i="5"/>
  <c r="AQ310" i="5"/>
  <c r="AR310" i="5"/>
  <c r="AQ204" i="5"/>
  <c r="AR204" i="5"/>
  <c r="AR375" i="5"/>
  <c r="AQ375" i="5"/>
  <c r="AR507" i="5"/>
  <c r="AQ507" i="5"/>
  <c r="AQ191" i="5"/>
  <c r="AR191" i="5"/>
  <c r="AR298" i="5"/>
  <c r="AQ298" i="5"/>
  <c r="AQ357" i="5"/>
  <c r="AR357" i="5"/>
  <c r="AR309" i="5"/>
  <c r="AQ309" i="5"/>
  <c r="AQ478" i="5"/>
  <c r="AR478" i="5"/>
  <c r="AR89" i="5"/>
  <c r="AQ89" i="5"/>
  <c r="AR174" i="5"/>
  <c r="AQ174" i="5"/>
  <c r="AE56" i="4"/>
  <c r="AR385" i="5"/>
  <c r="AQ385" i="5"/>
  <c r="AR342" i="5"/>
  <c r="AQ342" i="5"/>
  <c r="AR186" i="5"/>
  <c r="AQ186" i="5"/>
  <c r="AQ282" i="5"/>
  <c r="AR282" i="5"/>
  <c r="AR57" i="5"/>
  <c r="AQ57" i="5"/>
  <c r="AQ440" i="5"/>
  <c r="AR440" i="5"/>
  <c r="AE88" i="4"/>
  <c r="AQ264" i="5"/>
  <c r="AR264" i="5"/>
  <c r="AQ467" i="5"/>
  <c r="AR467" i="5"/>
  <c r="AR162" i="5"/>
  <c r="AQ162" i="5"/>
  <c r="AQ419" i="5"/>
  <c r="AR419" i="5"/>
  <c r="AF121" i="4"/>
  <c r="AF88" i="4"/>
  <c r="AE16" i="4"/>
  <c r="AR295" i="5"/>
  <c r="AQ295" i="5"/>
  <c r="X139" i="4"/>
  <c r="AA139" i="4" s="1"/>
  <c r="AC139" i="4" s="1"/>
  <c r="AD139" i="4" s="1"/>
  <c r="X107" i="4"/>
  <c r="AA107" i="4" s="1"/>
  <c r="AC107" i="4" s="1"/>
  <c r="AD107" i="4" s="1"/>
  <c r="AR116" i="5"/>
  <c r="AQ116" i="5"/>
  <c r="AR145" i="5"/>
  <c r="AQ145" i="5"/>
  <c r="AQ453" i="5"/>
  <c r="AR453" i="5"/>
  <c r="AQ220" i="5"/>
  <c r="AR220" i="5"/>
  <c r="AQ279" i="5"/>
  <c r="AR279" i="5"/>
  <c r="X147" i="4"/>
  <c r="AA147" i="4" s="1"/>
  <c r="AC147" i="4" s="1"/>
  <c r="AD147" i="4" s="1"/>
  <c r="AR128" i="5"/>
  <c r="AQ128" i="5"/>
  <c r="AQ415" i="5"/>
  <c r="AR415" i="5"/>
  <c r="X87" i="4"/>
  <c r="AA87" i="4" s="1"/>
  <c r="AC87" i="4" s="1"/>
  <c r="AD87" i="4" s="1"/>
  <c r="AQ328" i="5"/>
  <c r="AR328" i="5"/>
  <c r="AQ160" i="5"/>
  <c r="AR160" i="5"/>
  <c r="AH13" i="5"/>
  <c r="AP13" i="5"/>
  <c r="AI13" i="5"/>
  <c r="AQ475" i="5"/>
  <c r="AR475" i="5"/>
  <c r="AE119" i="4"/>
  <c r="AQ423" i="5"/>
  <c r="AR423" i="5"/>
  <c r="X154" i="4"/>
  <c r="AA154" i="4" s="1"/>
  <c r="AC154" i="4" s="1"/>
  <c r="AD154" i="4" s="1"/>
  <c r="AF146" i="4"/>
  <c r="AQ35" i="5"/>
  <c r="AR35" i="5"/>
  <c r="AR155" i="5"/>
  <c r="AQ155" i="5"/>
  <c r="AQ351" i="5"/>
  <c r="AR351" i="5"/>
  <c r="AR114" i="5"/>
  <c r="AQ114" i="5"/>
  <c r="AR179" i="5"/>
  <c r="AQ179" i="5"/>
  <c r="AQ344" i="5"/>
  <c r="AR344" i="5"/>
  <c r="X78" i="4"/>
  <c r="AA78" i="4" s="1"/>
  <c r="AC78" i="4" s="1"/>
  <c r="AD78" i="4" s="1"/>
  <c r="X50" i="4"/>
  <c r="AA50" i="4" s="1"/>
  <c r="AC50" i="4" s="1"/>
  <c r="AD50" i="4" s="1"/>
  <c r="AQ459" i="5"/>
  <c r="AR459" i="5"/>
  <c r="AR172" i="5"/>
  <c r="AQ172" i="5"/>
  <c r="AR315" i="5"/>
  <c r="AQ315" i="5"/>
  <c r="AR196" i="5"/>
  <c r="AQ196" i="5"/>
  <c r="AQ325" i="5"/>
  <c r="AR325" i="5"/>
  <c r="AQ452" i="5"/>
  <c r="AR452" i="5"/>
  <c r="AR353" i="5"/>
  <c r="AQ353" i="5"/>
  <c r="AE139" i="4"/>
  <c r="AR68" i="5"/>
  <c r="AQ68" i="5"/>
  <c r="AQ62" i="5"/>
  <c r="AR62" i="5"/>
  <c r="AE99" i="4"/>
  <c r="X33" i="4"/>
  <c r="AA33" i="4" s="1"/>
  <c r="AC33" i="4" s="1"/>
  <c r="AD33" i="4" s="1"/>
  <c r="AQ299" i="5"/>
  <c r="AR299" i="5"/>
  <c r="AQ171" i="5"/>
  <c r="AR171" i="5"/>
  <c r="AR246" i="5"/>
  <c r="AQ246" i="5"/>
  <c r="AQ183" i="5"/>
  <c r="AR183" i="5"/>
  <c r="AR125" i="5"/>
  <c r="AQ125" i="5"/>
  <c r="AQ50" i="5"/>
  <c r="AR50" i="5"/>
  <c r="AQ67" i="5"/>
  <c r="AR67" i="5"/>
  <c r="AQ74" i="5"/>
  <c r="AR74" i="5"/>
  <c r="AQ132" i="5"/>
  <c r="AR132" i="5"/>
  <c r="AQ455" i="5"/>
  <c r="AR455" i="5"/>
  <c r="AR83" i="5"/>
  <c r="AQ83" i="5"/>
  <c r="AQ316" i="5"/>
  <c r="AR316" i="5"/>
  <c r="AQ490" i="5"/>
  <c r="AR490" i="5"/>
  <c r="AJ98" i="4"/>
  <c r="AE121" i="4"/>
  <c r="AR421" i="5"/>
  <c r="AQ421" i="5"/>
  <c r="AQ231" i="5"/>
  <c r="AR231" i="5"/>
  <c r="AR317" i="5"/>
  <c r="AQ317" i="5"/>
  <c r="AR319" i="5"/>
  <c r="AQ319" i="5"/>
  <c r="X56" i="4"/>
  <c r="AA56" i="4" s="1"/>
  <c r="AC56" i="4" s="1"/>
  <c r="AD56" i="4" s="1"/>
  <c r="X88" i="4"/>
  <c r="AA88" i="4" s="1"/>
  <c r="AC88" i="4" s="1"/>
  <c r="AD88" i="4" s="1"/>
  <c r="AQ280" i="5"/>
  <c r="AR280" i="5"/>
  <c r="AF104" i="4"/>
  <c r="AQ36" i="5"/>
  <c r="AR36" i="5"/>
  <c r="AR550" i="5"/>
  <c r="AQ550" i="5"/>
  <c r="AQ401" i="5"/>
  <c r="AR401" i="5"/>
  <c r="AR150" i="5"/>
  <c r="AQ150" i="5"/>
  <c r="AQ122" i="5"/>
  <c r="AR122" i="5"/>
  <c r="X31" i="4"/>
  <c r="AF147" i="4"/>
  <c r="AQ339" i="5"/>
  <c r="AR339" i="5"/>
  <c r="AQ254" i="5"/>
  <c r="AR254" i="5"/>
  <c r="AR547" i="5"/>
  <c r="AQ547" i="5"/>
  <c r="AR413" i="5"/>
  <c r="AQ413" i="5"/>
  <c r="AQ511" i="5"/>
  <c r="AR511" i="5"/>
  <c r="AF124" i="4"/>
  <c r="X131" i="4"/>
  <c r="AQ481" i="5"/>
  <c r="AR481" i="5"/>
  <c r="U13" i="5"/>
  <c r="V13" i="5"/>
  <c r="AC13" i="5"/>
  <c r="AR247" i="5"/>
  <c r="AQ247" i="5"/>
  <c r="AR86" i="5"/>
  <c r="AQ86" i="5"/>
  <c r="AR98" i="5"/>
  <c r="AQ98" i="5"/>
  <c r="AQ201" i="5"/>
  <c r="AR201" i="5"/>
  <c r="AE138" i="4"/>
  <c r="AF65" i="4"/>
  <c r="X112" i="4"/>
  <c r="AA112" i="4" s="1"/>
  <c r="AC112" i="4" s="1"/>
  <c r="AD112" i="4" s="1"/>
  <c r="AF99" i="4"/>
  <c r="AE156" i="4"/>
  <c r="H34" i="1"/>
  <c r="B145" i="2"/>
  <c r="H35" i="1" s="1"/>
  <c r="AQ60" i="5"/>
  <c r="AR60" i="5"/>
  <c r="AQ429" i="5"/>
  <c r="AR429" i="5"/>
  <c r="AR377" i="5"/>
  <c r="AQ377" i="5"/>
  <c r="AQ554" i="5"/>
  <c r="AR554" i="5"/>
  <c r="X36" i="4"/>
  <c r="AA36" i="4" s="1"/>
  <c r="AC36" i="4" s="1"/>
  <c r="AD36" i="4" s="1"/>
  <c r="AF119" i="4"/>
  <c r="AQ489" i="5"/>
  <c r="AR489" i="5"/>
  <c r="AQ541" i="5"/>
  <c r="AR541" i="5"/>
  <c r="AR88" i="5"/>
  <c r="AQ88" i="5"/>
  <c r="AQ305" i="5"/>
  <c r="AR305" i="5"/>
  <c r="AF92" i="4"/>
  <c r="AR44" i="5"/>
  <c r="AQ44" i="5"/>
  <c r="AR39" i="5"/>
  <c r="AQ39" i="5"/>
  <c r="AQ73" i="5"/>
  <c r="AR73" i="5"/>
  <c r="AQ374" i="5"/>
  <c r="AR374" i="5"/>
  <c r="AE25" i="4"/>
  <c r="AE74" i="4"/>
  <c r="AQ416" i="5"/>
  <c r="AR416" i="5"/>
  <c r="X90" i="4"/>
  <c r="X43" i="4"/>
  <c r="AQ388" i="5"/>
  <c r="AR388" i="5"/>
  <c r="AR185" i="5"/>
  <c r="AQ185" i="5"/>
  <c r="AR49" i="5"/>
  <c r="AQ49" i="5"/>
  <c r="AR71" i="5"/>
  <c r="AQ71" i="5"/>
  <c r="X28" i="4"/>
  <c r="AA28" i="4" s="1"/>
  <c r="AC28" i="4" s="1"/>
  <c r="AD28" i="4" s="1"/>
  <c r="AF51" i="4"/>
  <c r="X149" i="4" l="1"/>
  <c r="AE149" i="4"/>
  <c r="AF44" i="4"/>
  <c r="AE80" i="4"/>
  <c r="X80" i="4"/>
  <c r="AJ80" i="4" s="1"/>
  <c r="AF80" i="4"/>
  <c r="AE522" i="5"/>
  <c r="AE55" i="4"/>
  <c r="AD522" i="5"/>
  <c r="X55" i="4"/>
  <c r="AJ55" i="4" s="1"/>
  <c r="AE60" i="4"/>
  <c r="AG96" i="4"/>
  <c r="AI96" i="4" s="1"/>
  <c r="X111" i="4"/>
  <c r="AJ111" i="4" s="1"/>
  <c r="X60" i="4"/>
  <c r="AJ60" i="4" s="1"/>
  <c r="AE111" i="4"/>
  <c r="X81" i="4"/>
  <c r="AJ81" i="4" s="1"/>
  <c r="AE102" i="4"/>
  <c r="X102" i="4"/>
  <c r="AJ102" i="4" s="1"/>
  <c r="AE81" i="4"/>
  <c r="AF81" i="4"/>
  <c r="AG81" i="4" s="1"/>
  <c r="AI81" i="4" s="1"/>
  <c r="AK98" i="4"/>
  <c r="X44" i="4"/>
  <c r="AK44" i="4" s="1"/>
  <c r="Y47" i="4"/>
  <c r="Z47" i="4" s="1"/>
  <c r="AF47" i="4" s="1"/>
  <c r="X47" i="4"/>
  <c r="AJ47" i="4" s="1"/>
  <c r="AO25" i="4"/>
  <c r="AK25" i="4"/>
  <c r="Y54" i="4"/>
  <c r="Z54" i="4" s="1"/>
  <c r="AK54" i="4" s="1"/>
  <c r="AE49" i="4"/>
  <c r="X49" i="4"/>
  <c r="AA49" i="4" s="1"/>
  <c r="AC49" i="4" s="1"/>
  <c r="AD49" i="4" s="1"/>
  <c r="AQ12" i="5"/>
  <c r="X85" i="4"/>
  <c r="AJ85" i="4" s="1"/>
  <c r="AF85" i="4"/>
  <c r="AG85" i="4" s="1"/>
  <c r="AI85" i="4" s="1"/>
  <c r="AE85" i="4"/>
  <c r="AE30" i="4"/>
  <c r="AG31" i="4"/>
  <c r="AI31" i="4" s="1"/>
  <c r="AA31" i="4"/>
  <c r="AC31" i="4" s="1"/>
  <c r="AD31" i="4" s="1"/>
  <c r="AE54" i="4"/>
  <c r="AO71" i="4"/>
  <c r="AO9" i="4"/>
  <c r="AE29" i="4"/>
  <c r="X9" i="4"/>
  <c r="AJ9" i="4" s="1"/>
  <c r="AE9" i="4"/>
  <c r="AG106" i="4"/>
  <c r="AI106" i="4" s="1"/>
  <c r="AE106" i="4"/>
  <c r="AG102" i="4"/>
  <c r="AI102" i="4" s="1"/>
  <c r="AS512" i="5"/>
  <c r="AT512" i="5" s="1"/>
  <c r="X29" i="4"/>
  <c r="AA29" i="4" s="1"/>
  <c r="AC29" i="4" s="1"/>
  <c r="AD29" i="4" s="1"/>
  <c r="AK70" i="4"/>
  <c r="X100" i="4"/>
  <c r="AJ100" i="4" s="1"/>
  <c r="X18" i="4"/>
  <c r="AJ18" i="4" s="1"/>
  <c r="X75" i="4"/>
  <c r="AJ75" i="4" s="1"/>
  <c r="AE75" i="4"/>
  <c r="X106" i="4"/>
  <c r="AA106" i="4" s="1"/>
  <c r="AC106" i="4" s="1"/>
  <c r="AD106" i="4" s="1"/>
  <c r="Y100" i="4"/>
  <c r="Z100" i="4" s="1"/>
  <c r="AF100" i="4" s="1"/>
  <c r="AO74" i="4"/>
  <c r="AO151" i="4"/>
  <c r="X7" i="4"/>
  <c r="AJ7" i="4" s="1"/>
  <c r="X95" i="4"/>
  <c r="AJ95" i="4" s="1"/>
  <c r="AE95" i="4"/>
  <c r="AR10" i="5"/>
  <c r="AO30" i="4"/>
  <c r="X30" i="4"/>
  <c r="AJ30" i="4" s="1"/>
  <c r="X118" i="4"/>
  <c r="AA118" i="4" s="1"/>
  <c r="AC118" i="4" s="1"/>
  <c r="AD118" i="4" s="1"/>
  <c r="AF118" i="4"/>
  <c r="AG118" i="4" s="1"/>
  <c r="AI118" i="4" s="1"/>
  <c r="AD265" i="5"/>
  <c r="AE118" i="4"/>
  <c r="Y35" i="4"/>
  <c r="Z35" i="4" s="1"/>
  <c r="AA35" i="4" s="1"/>
  <c r="AC35" i="4" s="1"/>
  <c r="AD35" i="4" s="1"/>
  <c r="AE35" i="4"/>
  <c r="AD523" i="5"/>
  <c r="AE91" i="4"/>
  <c r="Y91" i="4"/>
  <c r="Z91" i="4" s="1"/>
  <c r="AA91" i="4" s="1"/>
  <c r="AC91" i="4" s="1"/>
  <c r="AD91" i="4" s="1"/>
  <c r="AE221" i="5"/>
  <c r="AD221" i="5"/>
  <c r="Y7" i="4"/>
  <c r="Z7" i="4" s="1"/>
  <c r="AF7" i="4" s="1"/>
  <c r="X48" i="4"/>
  <c r="AJ48" i="4" s="1"/>
  <c r="AE48" i="4"/>
  <c r="AS525" i="5"/>
  <c r="AT525" i="5" s="1"/>
  <c r="AS459" i="5"/>
  <c r="AT459" i="5" s="1"/>
  <c r="AE459" i="5"/>
  <c r="AS206" i="5"/>
  <c r="AT206" i="5" s="1"/>
  <c r="AE206" i="5"/>
  <c r="X127" i="4"/>
  <c r="AJ127" i="4" s="1"/>
  <c r="Y127" i="4"/>
  <c r="Z127" i="4" s="1"/>
  <c r="AF127" i="4" s="1"/>
  <c r="Y76" i="4"/>
  <c r="Z76" i="4" s="1"/>
  <c r="AF76" i="4" s="1"/>
  <c r="AE76" i="4"/>
  <c r="AG87" i="4"/>
  <c r="AI87" i="4" s="1"/>
  <c r="AR87" i="4" s="1"/>
  <c r="AT87" i="4" s="1"/>
  <c r="AE18" i="4"/>
  <c r="AE512" i="5"/>
  <c r="AD371" i="5"/>
  <c r="AS264" i="5"/>
  <c r="AU264" i="5" s="1"/>
  <c r="AS371" i="5"/>
  <c r="AU371" i="5" s="1"/>
  <c r="AG18" i="4"/>
  <c r="AI18" i="4" s="1"/>
  <c r="AO18" i="4"/>
  <c r="AS523" i="5"/>
  <c r="AT523" i="5" s="1"/>
  <c r="AD80" i="5"/>
  <c r="AD525" i="5"/>
  <c r="AE80" i="5"/>
  <c r="AD105" i="5"/>
  <c r="AE546" i="5"/>
  <c r="AS546" i="5"/>
  <c r="AU546" i="5" s="1"/>
  <c r="AD537" i="5"/>
  <c r="AS379" i="5"/>
  <c r="AT379" i="5" s="1"/>
  <c r="AS537" i="5"/>
  <c r="AT537" i="5" s="1"/>
  <c r="AD379" i="5"/>
  <c r="AE117" i="5"/>
  <c r="AE234" i="5"/>
  <c r="AS234" i="5"/>
  <c r="AU234" i="5" s="1"/>
  <c r="AD392" i="5"/>
  <c r="AS446" i="5"/>
  <c r="AT446" i="5" s="1"/>
  <c r="AD26" i="5"/>
  <c r="AD121" i="5"/>
  <c r="AD254" i="5"/>
  <c r="AD160" i="5"/>
  <c r="AE121" i="5"/>
  <c r="AE446" i="5"/>
  <c r="AE392" i="5"/>
  <c r="AE160" i="5"/>
  <c r="AS376" i="5"/>
  <c r="AT376" i="5" s="1"/>
  <c r="AD429" i="5"/>
  <c r="AE432" i="5"/>
  <c r="AE429" i="5"/>
  <c r="AD432" i="5"/>
  <c r="AE426" i="5"/>
  <c r="AS23" i="5"/>
  <c r="AT23" i="5" s="1"/>
  <c r="AS426" i="5"/>
  <c r="AU426" i="5" s="1"/>
  <c r="Y37" i="4"/>
  <c r="Z37" i="4" s="1"/>
  <c r="AA37" i="4" s="1"/>
  <c r="AC37" i="4" s="1"/>
  <c r="AD37" i="4" s="1"/>
  <c r="AE23" i="5"/>
  <c r="AE534" i="5"/>
  <c r="AS534" i="5"/>
  <c r="AT534" i="5" s="1"/>
  <c r="AS530" i="5"/>
  <c r="AU530" i="5" s="1"/>
  <c r="AE530" i="5"/>
  <c r="X145" i="4"/>
  <c r="AJ145" i="4" s="1"/>
  <c r="AE145" i="4"/>
  <c r="AE376" i="5"/>
  <c r="AS105" i="5"/>
  <c r="AU105" i="5" s="1"/>
  <c r="AD264" i="5"/>
  <c r="AD508" i="5"/>
  <c r="AD417" i="5"/>
  <c r="AD422" i="5"/>
  <c r="AS483" i="5"/>
  <c r="AU483" i="5" s="1"/>
  <c r="AS508" i="5"/>
  <c r="AU508" i="5" s="1"/>
  <c r="AE289" i="5"/>
  <c r="AD232" i="5"/>
  <c r="AE483" i="5"/>
  <c r="AE279" i="5"/>
  <c r="AE254" i="5"/>
  <c r="AE232" i="5"/>
  <c r="AD500" i="5"/>
  <c r="AD279" i="5"/>
  <c r="X66" i="4"/>
  <c r="AJ66" i="4" s="1"/>
  <c r="AE422" i="5"/>
  <c r="AS532" i="5"/>
  <c r="AT532" i="5" s="1"/>
  <c r="AS200" i="5"/>
  <c r="AT200" i="5" s="1"/>
  <c r="AE500" i="5"/>
  <c r="AS26" i="5"/>
  <c r="AT26" i="5" s="1"/>
  <c r="AE532" i="5"/>
  <c r="AD479" i="5"/>
  <c r="AS289" i="5"/>
  <c r="AT289" i="5" s="1"/>
  <c r="AE14" i="4"/>
  <c r="AS469" i="5"/>
  <c r="AU469" i="5" s="1"/>
  <c r="AD469" i="5"/>
  <c r="AE417" i="5"/>
  <c r="AS243" i="5"/>
  <c r="AU243" i="5" s="1"/>
  <c r="AS345" i="5"/>
  <c r="AT345" i="5" s="1"/>
  <c r="AD117" i="5"/>
  <c r="AS97" i="5"/>
  <c r="AT97" i="5" s="1"/>
  <c r="AS463" i="5"/>
  <c r="AU463" i="5" s="1"/>
  <c r="AE97" i="5"/>
  <c r="K36" i="2"/>
  <c r="L36" i="2"/>
  <c r="X46" i="4"/>
  <c r="AK46" i="4" s="1"/>
  <c r="AE15" i="4"/>
  <c r="AO46" i="4"/>
  <c r="AE37" i="4"/>
  <c r="AS265" i="5"/>
  <c r="AT265" i="5" s="1"/>
  <c r="AE520" i="5"/>
  <c r="AD520" i="5"/>
  <c r="AS184" i="5"/>
  <c r="AT184" i="5" s="1"/>
  <c r="AE184" i="5"/>
  <c r="AD463" i="5"/>
  <c r="AE205" i="5"/>
  <c r="AD470" i="5"/>
  <c r="AS470" i="5"/>
  <c r="AU470" i="5" s="1"/>
  <c r="AD556" i="5"/>
  <c r="AS327" i="5"/>
  <c r="AT327" i="5" s="1"/>
  <c r="AS509" i="5"/>
  <c r="AT509" i="5" s="1"/>
  <c r="AD511" i="5"/>
  <c r="AE140" i="5"/>
  <c r="AD452" i="5"/>
  <c r="AS226" i="5"/>
  <c r="AT226" i="5" s="1"/>
  <c r="AE354" i="5"/>
  <c r="AS22" i="5"/>
  <c r="AT22" i="5" s="1"/>
  <c r="AE213" i="5"/>
  <c r="AS511" i="5"/>
  <c r="AT511" i="5" s="1"/>
  <c r="AS297" i="5"/>
  <c r="AT297" i="5" s="1"/>
  <c r="AS466" i="5"/>
  <c r="AU466" i="5" s="1"/>
  <c r="AE297" i="5"/>
  <c r="AS213" i="5"/>
  <c r="AU213" i="5" s="1"/>
  <c r="AS540" i="5"/>
  <c r="AU540" i="5" s="1"/>
  <c r="AE359" i="5"/>
  <c r="Y20" i="4"/>
  <c r="Z20" i="4" s="1"/>
  <c r="AF20" i="4" s="1"/>
  <c r="AE20" i="4"/>
  <c r="AD444" i="5"/>
  <c r="AD183" i="5"/>
  <c r="AS49" i="5"/>
  <c r="AT49" i="5" s="1"/>
  <c r="AE46" i="4"/>
  <c r="AA43" i="4"/>
  <c r="AC43" i="4" s="1"/>
  <c r="AD43" i="4" s="1"/>
  <c r="AD540" i="5"/>
  <c r="AS359" i="5"/>
  <c r="AT359" i="5" s="1"/>
  <c r="AE365" i="5"/>
  <c r="AS514" i="5"/>
  <c r="AT514" i="5" s="1"/>
  <c r="AE479" i="5"/>
  <c r="X14" i="4"/>
  <c r="AJ14" i="4" s="1"/>
  <c r="AE24" i="5"/>
  <c r="AS166" i="5"/>
  <c r="AT166" i="5" s="1"/>
  <c r="AD136" i="5"/>
  <c r="X61" i="4"/>
  <c r="AJ61" i="4" s="1"/>
  <c r="AE66" i="4"/>
  <c r="AF66" i="4"/>
  <c r="AO66" i="4" s="1"/>
  <c r="AD302" i="5"/>
  <c r="AA149" i="4"/>
  <c r="AC149" i="4" s="1"/>
  <c r="AD149" i="4" s="1"/>
  <c r="AO61" i="4"/>
  <c r="AA115" i="4"/>
  <c r="AC115" i="4" s="1"/>
  <c r="AD115" i="4" s="1"/>
  <c r="AE61" i="4"/>
  <c r="AE40" i="5"/>
  <c r="AE237" i="5"/>
  <c r="AE42" i="5"/>
  <c r="AD386" i="5"/>
  <c r="AE261" i="5"/>
  <c r="AS188" i="5"/>
  <c r="AT188" i="5" s="1"/>
  <c r="AE386" i="5"/>
  <c r="AS42" i="5"/>
  <c r="AU42" i="5" s="1"/>
  <c r="AF142" i="4"/>
  <c r="AG142" i="4" s="1"/>
  <c r="AI142" i="4" s="1"/>
  <c r="AS248" i="5"/>
  <c r="AU248" i="5" s="1"/>
  <c r="AD261" i="5"/>
  <c r="AE142" i="4"/>
  <c r="AS361" i="5"/>
  <c r="AU361" i="5" s="1"/>
  <c r="AD361" i="5"/>
  <c r="AD543" i="5"/>
  <c r="AD280" i="5"/>
  <c r="AS313" i="5"/>
  <c r="AU313" i="5" s="1"/>
  <c r="X142" i="4"/>
  <c r="AJ142" i="4" s="1"/>
  <c r="AE280" i="5"/>
  <c r="AD301" i="5"/>
  <c r="AE303" i="5"/>
  <c r="AE482" i="5"/>
  <c r="AE382" i="5"/>
  <c r="AS351" i="5"/>
  <c r="AT351" i="5" s="1"/>
  <c r="AS518" i="5"/>
  <c r="AU518" i="5" s="1"/>
  <c r="AS31" i="5"/>
  <c r="AT31" i="5" s="1"/>
  <c r="AE491" i="5"/>
  <c r="AT278" i="5"/>
  <c r="AD365" i="5"/>
  <c r="AE501" i="5"/>
  <c r="AS353" i="5"/>
  <c r="AT353" i="5" s="1"/>
  <c r="AS421" i="5"/>
  <c r="AT421" i="5" s="1"/>
  <c r="AD332" i="5"/>
  <c r="AE332" i="5"/>
  <c r="AD518" i="5"/>
  <c r="AD203" i="5"/>
  <c r="AE166" i="5"/>
  <c r="AS302" i="5"/>
  <c r="AU302" i="5" s="1"/>
  <c r="AE70" i="5"/>
  <c r="AS145" i="5"/>
  <c r="AU145" i="5" s="1"/>
  <c r="AD514" i="5"/>
  <c r="AS300" i="5"/>
  <c r="AT300" i="5" s="1"/>
  <c r="AS444" i="5"/>
  <c r="AU444" i="5" s="1"/>
  <c r="AD345" i="5"/>
  <c r="AE136" i="5"/>
  <c r="AE243" i="5"/>
  <c r="AS113" i="5"/>
  <c r="AU113" i="5" s="1"/>
  <c r="AE300" i="5"/>
  <c r="AS382" i="5"/>
  <c r="AT382" i="5" s="1"/>
  <c r="AD482" i="5"/>
  <c r="AS58" i="5"/>
  <c r="AU58" i="5" s="1"/>
  <c r="AE58" i="5"/>
  <c r="AD48" i="5"/>
  <c r="AD363" i="5"/>
  <c r="AS201" i="5"/>
  <c r="AU201" i="5" s="1"/>
  <c r="AS349" i="5"/>
  <c r="AT349" i="5" s="1"/>
  <c r="AE336" i="5"/>
  <c r="AS137" i="5"/>
  <c r="AT137" i="5" s="1"/>
  <c r="AE59" i="5"/>
  <c r="AE349" i="5"/>
  <c r="AE378" i="5"/>
  <c r="AS222" i="5"/>
  <c r="AU222" i="5" s="1"/>
  <c r="AS336" i="5"/>
  <c r="AT336" i="5" s="1"/>
  <c r="AS21" i="5"/>
  <c r="AT21" i="5" s="1"/>
  <c r="AD21" i="5"/>
  <c r="AS148" i="5"/>
  <c r="AT148" i="5" s="1"/>
  <c r="AE248" i="5"/>
  <c r="AE188" i="5"/>
  <c r="AE137" i="5"/>
  <c r="AD59" i="5"/>
  <c r="AD374" i="5"/>
  <c r="AD32" i="5"/>
  <c r="AS478" i="5"/>
  <c r="AU478" i="5" s="1"/>
  <c r="AE223" i="5"/>
  <c r="AS374" i="5"/>
  <c r="AU374" i="5" s="1"/>
  <c r="AE455" i="5"/>
  <c r="AS32" i="5"/>
  <c r="AT32" i="5" s="1"/>
  <c r="AD478" i="5"/>
  <c r="AD223" i="5"/>
  <c r="AE199" i="5"/>
  <c r="AD303" i="5"/>
  <c r="AE313" i="5"/>
  <c r="AD481" i="5"/>
  <c r="AD237" i="5"/>
  <c r="AS363" i="5"/>
  <c r="AT363" i="5" s="1"/>
  <c r="AS378" i="5"/>
  <c r="AU378" i="5" s="1"/>
  <c r="AE222" i="5"/>
  <c r="AE69" i="5"/>
  <c r="AE543" i="5"/>
  <c r="AS301" i="5"/>
  <c r="AU301" i="5" s="1"/>
  <c r="AS455" i="5"/>
  <c r="AU455" i="5" s="1"/>
  <c r="AD453" i="5"/>
  <c r="AS48" i="5"/>
  <c r="AU48" i="5" s="1"/>
  <c r="AD138" i="5"/>
  <c r="AS138" i="5"/>
  <c r="AT138" i="5" s="1"/>
  <c r="AD360" i="5"/>
  <c r="AS477" i="5"/>
  <c r="AT477" i="5" s="1"/>
  <c r="AE333" i="5"/>
  <c r="AE477" i="5"/>
  <c r="AS94" i="5"/>
  <c r="AU94" i="5" s="1"/>
  <c r="AD194" i="5"/>
  <c r="AS306" i="5"/>
  <c r="AU306" i="5" s="1"/>
  <c r="AS494" i="5"/>
  <c r="AU494" i="5" s="1"/>
  <c r="AA96" i="4"/>
  <c r="AC96" i="4" s="1"/>
  <c r="AD96" i="4" s="1"/>
  <c r="AD94" i="5"/>
  <c r="AD333" i="5"/>
  <c r="AS360" i="5"/>
  <c r="AU360" i="5" s="1"/>
  <c r="AS259" i="5"/>
  <c r="AU259" i="5" s="1"/>
  <c r="AD460" i="5"/>
  <c r="AT147" i="5"/>
  <c r="AS194" i="5"/>
  <c r="AU194" i="5" s="1"/>
  <c r="AD306" i="5"/>
  <c r="AE494" i="5"/>
  <c r="AT54" i="5"/>
  <c r="AS158" i="5"/>
  <c r="AU158" i="5" s="1"/>
  <c r="AD54" i="5"/>
  <c r="AE173" i="5"/>
  <c r="AD269" i="5"/>
  <c r="AS119" i="5"/>
  <c r="AU119" i="5" s="1"/>
  <c r="AE186" i="5"/>
  <c r="AE460" i="5"/>
  <c r="AD475" i="5"/>
  <c r="AE399" i="5"/>
  <c r="AD398" i="5"/>
  <c r="AS475" i="5"/>
  <c r="AU475" i="5" s="1"/>
  <c r="AD536" i="5"/>
  <c r="AE165" i="5"/>
  <c r="AE125" i="5"/>
  <c r="AS186" i="5"/>
  <c r="AU186" i="5" s="1"/>
  <c r="AD399" i="5"/>
  <c r="AD456" i="5"/>
  <c r="AE54" i="5"/>
  <c r="AS425" i="5"/>
  <c r="AT425" i="5" s="1"/>
  <c r="AS55" i="5"/>
  <c r="AT55" i="5" s="1"/>
  <c r="AE135" i="4"/>
  <c r="AE533" i="5"/>
  <c r="AD31" i="5"/>
  <c r="AS440" i="5"/>
  <c r="AT440" i="5" s="1"/>
  <c r="AD366" i="5"/>
  <c r="AS462" i="5"/>
  <c r="AU462" i="5" s="1"/>
  <c r="AE65" i="5"/>
  <c r="AD436" i="5"/>
  <c r="AD400" i="5"/>
  <c r="AD296" i="5"/>
  <c r="AS283" i="5"/>
  <c r="AT283" i="5" s="1"/>
  <c r="AE269" i="5"/>
  <c r="AE241" i="5"/>
  <c r="AS517" i="5"/>
  <c r="AT517" i="5" s="1"/>
  <c r="AE208" i="5"/>
  <c r="AS140" i="5"/>
  <c r="AU140" i="5" s="1"/>
  <c r="AS556" i="5"/>
  <c r="AU556" i="5" s="1"/>
  <c r="AE22" i="5"/>
  <c r="AD151" i="5"/>
  <c r="AD226" i="5"/>
  <c r="AD466" i="5"/>
  <c r="AS62" i="5"/>
  <c r="AT62" i="5" s="1"/>
  <c r="AS354" i="5"/>
  <c r="AU354" i="5" s="1"/>
  <c r="AS309" i="5"/>
  <c r="AT309" i="5" s="1"/>
  <c r="AD401" i="5"/>
  <c r="AS325" i="5"/>
  <c r="AU325" i="5" s="1"/>
  <c r="X15" i="4"/>
  <c r="AJ15" i="4" s="1"/>
  <c r="AE210" i="5"/>
  <c r="AE151" i="5"/>
  <c r="AD472" i="5"/>
  <c r="AD112" i="5"/>
  <c r="AE551" i="5"/>
  <c r="AE309" i="5"/>
  <c r="AD486" i="5"/>
  <c r="AE112" i="5"/>
  <c r="AS551" i="5"/>
  <c r="AU551" i="5" s="1"/>
  <c r="AD245" i="5"/>
  <c r="AD277" i="5"/>
  <c r="AS116" i="5"/>
  <c r="AT116" i="5" s="1"/>
  <c r="AD325" i="5"/>
  <c r="AS504" i="5"/>
  <c r="AT504" i="5" s="1"/>
  <c r="AS210" i="5"/>
  <c r="AU210" i="5" s="1"/>
  <c r="AE304" i="5"/>
  <c r="AD327" i="5"/>
  <c r="AS452" i="5"/>
  <c r="AU452" i="5" s="1"/>
  <c r="AD504" i="5"/>
  <c r="AD304" i="5"/>
  <c r="AS245" i="5"/>
  <c r="AT245" i="5" s="1"/>
  <c r="AS46" i="5"/>
  <c r="AT46" i="5" s="1"/>
  <c r="AS277" i="5"/>
  <c r="AU277" i="5" s="1"/>
  <c r="AD158" i="5"/>
  <c r="AD46" i="5"/>
  <c r="AD116" i="5"/>
  <c r="AS438" i="5"/>
  <c r="AT438" i="5" s="1"/>
  <c r="AS244" i="5"/>
  <c r="AU244" i="5" s="1"/>
  <c r="AD189" i="5"/>
  <c r="AD40" i="5"/>
  <c r="AE502" i="5"/>
  <c r="AD38" i="5"/>
  <c r="AD180" i="5"/>
  <c r="AE101" i="5"/>
  <c r="AE480" i="5"/>
  <c r="AS548" i="5"/>
  <c r="AT548" i="5" s="1"/>
  <c r="AS36" i="5"/>
  <c r="AU36" i="5" s="1"/>
  <c r="AS502" i="5"/>
  <c r="AT502" i="5" s="1"/>
  <c r="AS310" i="5"/>
  <c r="AU310" i="5" s="1"/>
  <c r="AD142" i="5"/>
  <c r="AE76" i="5"/>
  <c r="AS308" i="5"/>
  <c r="AU308" i="5" s="1"/>
  <c r="AD338" i="5"/>
  <c r="AE142" i="5"/>
  <c r="AD274" i="5"/>
  <c r="AD238" i="5"/>
  <c r="AE19" i="5"/>
  <c r="AD150" i="5"/>
  <c r="AE544" i="5"/>
  <c r="AD450" i="5"/>
  <c r="AS115" i="5"/>
  <c r="AT115" i="5" s="1"/>
  <c r="AD295" i="5"/>
  <c r="AE115" i="5"/>
  <c r="AD491" i="5"/>
  <c r="AS150" i="5"/>
  <c r="AU150" i="5" s="1"/>
  <c r="AE552" i="5"/>
  <c r="AE517" i="5"/>
  <c r="AE341" i="5"/>
  <c r="AE25" i="5"/>
  <c r="AS552" i="5"/>
  <c r="AT552" i="5" s="1"/>
  <c r="AD241" i="5"/>
  <c r="AD298" i="5"/>
  <c r="AS25" i="5"/>
  <c r="AT25" i="5" s="1"/>
  <c r="AE298" i="5"/>
  <c r="AD451" i="5"/>
  <c r="AT202" i="5"/>
  <c r="AE202" i="5"/>
  <c r="AD202" i="5"/>
  <c r="AD208" i="5"/>
  <c r="AS451" i="5"/>
  <c r="AU451" i="5" s="1"/>
  <c r="AS267" i="5"/>
  <c r="AU267" i="5" s="1"/>
  <c r="AS174" i="5"/>
  <c r="AU174" i="5" s="1"/>
  <c r="AS104" i="5"/>
  <c r="AU104" i="5" s="1"/>
  <c r="AE145" i="5"/>
  <c r="AD104" i="5"/>
  <c r="AS178" i="5"/>
  <c r="AU178" i="5" s="1"/>
  <c r="AE113" i="5"/>
  <c r="AE200" i="5"/>
  <c r="AS533" i="5"/>
  <c r="AT533" i="5" s="1"/>
  <c r="AE216" i="5"/>
  <c r="AS120" i="5"/>
  <c r="AU120" i="5" s="1"/>
  <c r="AS501" i="5"/>
  <c r="AU501" i="5" s="1"/>
  <c r="AE456" i="5"/>
  <c r="AD421" i="5"/>
  <c r="AE120" i="5"/>
  <c r="AU78" i="5"/>
  <c r="AE351" i="5"/>
  <c r="AD275" i="5"/>
  <c r="AD440" i="5"/>
  <c r="AS400" i="5"/>
  <c r="AT400" i="5" s="1"/>
  <c r="AE203" i="5"/>
  <c r="AS366" i="5"/>
  <c r="AU366" i="5" s="1"/>
  <c r="AD216" i="5"/>
  <c r="AE434" i="5"/>
  <c r="AS390" i="5"/>
  <c r="AU390" i="5" s="1"/>
  <c r="AD383" i="5"/>
  <c r="AE275" i="5"/>
  <c r="AE181" i="5"/>
  <c r="AD260" i="5"/>
  <c r="AD434" i="5"/>
  <c r="AE384" i="5"/>
  <c r="AE425" i="5"/>
  <c r="AE390" i="5"/>
  <c r="AD165" i="5"/>
  <c r="AD335" i="5"/>
  <c r="AD506" i="5"/>
  <c r="AD181" i="5"/>
  <c r="AE260" i="5"/>
  <c r="AS383" i="5"/>
  <c r="AU383" i="5" s="1"/>
  <c r="AS492" i="5"/>
  <c r="AU492" i="5" s="1"/>
  <c r="AS384" i="5"/>
  <c r="AT384" i="5" s="1"/>
  <c r="AS335" i="5"/>
  <c r="AU335" i="5" s="1"/>
  <c r="AE506" i="5"/>
  <c r="AD492" i="5"/>
  <c r="AD353" i="5"/>
  <c r="AE495" i="5"/>
  <c r="AS193" i="5"/>
  <c r="AT193" i="5" s="1"/>
  <c r="AD114" i="5"/>
  <c r="AD495" i="5"/>
  <c r="AT81" i="5"/>
  <c r="AD283" i="5"/>
  <c r="AS114" i="5"/>
  <c r="AT114" i="5" s="1"/>
  <c r="AS420" i="5"/>
  <c r="AT420" i="5" s="1"/>
  <c r="AD441" i="5"/>
  <c r="AE462" i="5"/>
  <c r="AS441" i="5"/>
  <c r="AU441" i="5" s="1"/>
  <c r="AE420" i="5"/>
  <c r="AE278" i="5"/>
  <c r="AS60" i="5"/>
  <c r="AU60" i="5" s="1"/>
  <c r="X135" i="4"/>
  <c r="AJ135" i="4" s="1"/>
  <c r="AD278" i="5"/>
  <c r="AD81" i="5"/>
  <c r="AE122" i="5"/>
  <c r="AE49" i="5"/>
  <c r="AD70" i="5"/>
  <c r="AS122" i="5"/>
  <c r="AT122" i="5" s="1"/>
  <c r="AE81" i="5"/>
  <c r="AE78" i="5"/>
  <c r="AE60" i="5"/>
  <c r="AE36" i="5"/>
  <c r="AD356" i="5"/>
  <c r="AD310" i="5"/>
  <c r="AF125" i="4"/>
  <c r="AG125" i="4" s="1"/>
  <c r="AI125" i="4" s="1"/>
  <c r="AD127" i="5"/>
  <c r="AE356" i="5"/>
  <c r="AE125" i="4"/>
  <c r="AE127" i="5"/>
  <c r="AE143" i="5"/>
  <c r="AD343" i="5"/>
  <c r="AS314" i="5"/>
  <c r="AT314" i="5" s="1"/>
  <c r="AE343" i="5"/>
  <c r="AS50" i="5"/>
  <c r="AT50" i="5" s="1"/>
  <c r="AE342" i="5"/>
  <c r="X125" i="4"/>
  <c r="AJ125" i="4" s="1"/>
  <c r="AS143" i="5"/>
  <c r="AT143" i="5" s="1"/>
  <c r="AE12" i="5"/>
  <c r="AS541" i="5"/>
  <c r="AT541" i="5" s="1"/>
  <c r="AD50" i="5"/>
  <c r="AD428" i="5"/>
  <c r="AS12" i="5"/>
  <c r="AU12" i="5" s="1"/>
  <c r="AS496" i="5"/>
  <c r="AU496" i="5" s="1"/>
  <c r="AE496" i="5"/>
  <c r="AE314" i="5"/>
  <c r="AE38" i="5"/>
  <c r="AD342" i="5"/>
  <c r="AE308" i="5"/>
  <c r="AS77" i="5"/>
  <c r="AT77" i="5" s="1"/>
  <c r="AX77" i="5" s="1"/>
  <c r="AY77" i="5" s="1"/>
  <c r="AS476" i="5"/>
  <c r="AT476" i="5" s="1"/>
  <c r="AS405" i="5"/>
  <c r="AU405" i="5" s="1"/>
  <c r="AE106" i="5"/>
  <c r="AD244" i="5"/>
  <c r="AS295" i="5"/>
  <c r="AU295" i="5" s="1"/>
  <c r="AS76" i="5"/>
  <c r="AU76" i="5" s="1"/>
  <c r="AD438" i="5"/>
  <c r="AE405" i="5"/>
  <c r="AS106" i="5"/>
  <c r="AT106" i="5" s="1"/>
  <c r="AS134" i="5"/>
  <c r="AU134" i="5" s="1"/>
  <c r="AE180" i="5"/>
  <c r="AE476" i="5"/>
  <c r="AS90" i="5"/>
  <c r="AU90" i="5" s="1"/>
  <c r="AD282" i="5"/>
  <c r="AD528" i="5"/>
  <c r="X57" i="4"/>
  <c r="AJ57" i="4" s="1"/>
  <c r="AD77" i="5"/>
  <c r="AE57" i="4"/>
  <c r="AD239" i="5"/>
  <c r="AS24" i="5"/>
  <c r="AT24" i="5" s="1"/>
  <c r="AE338" i="5"/>
  <c r="AE274" i="5"/>
  <c r="AD294" i="5"/>
  <c r="AS239" i="5"/>
  <c r="AU239" i="5" s="1"/>
  <c r="AS293" i="5"/>
  <c r="AT293" i="5" s="1"/>
  <c r="AD262" i="5"/>
  <c r="AS44" i="5"/>
  <c r="AT44" i="5" s="1"/>
  <c r="AE294" i="5"/>
  <c r="AD217" i="5"/>
  <c r="AE247" i="5"/>
  <c r="AS238" i="5"/>
  <c r="AU238" i="5" s="1"/>
  <c r="AD293" i="5"/>
  <c r="AE189" i="5"/>
  <c r="AE262" i="5"/>
  <c r="AS344" i="5"/>
  <c r="AU344" i="5" s="1"/>
  <c r="AD101" i="5"/>
  <c r="AE44" i="5"/>
  <c r="AS394" i="5"/>
  <c r="AT394" i="5" s="1"/>
  <c r="AS19" i="5"/>
  <c r="AT19" i="5" s="1"/>
  <c r="AS453" i="5"/>
  <c r="AT453" i="5" s="1"/>
  <c r="AD548" i="5"/>
  <c r="AE148" i="5"/>
  <c r="AD197" i="5"/>
  <c r="AS220" i="5"/>
  <c r="AU220" i="5" s="1"/>
  <c r="AD544" i="5"/>
  <c r="AE450" i="5"/>
  <c r="AK96" i="4"/>
  <c r="AS217" i="5"/>
  <c r="AU217" i="5" s="1"/>
  <c r="AS197" i="5"/>
  <c r="AU197" i="5" s="1"/>
  <c r="AE220" i="5"/>
  <c r="AE266" i="5"/>
  <c r="AD257" i="5"/>
  <c r="AE436" i="5"/>
  <c r="AD174" i="5"/>
  <c r="AS410" i="5"/>
  <c r="AU410" i="5" s="1"/>
  <c r="AE34" i="5"/>
  <c r="AS132" i="5"/>
  <c r="AU132" i="5" s="1"/>
  <c r="AS27" i="5"/>
  <c r="AU27" i="5" s="1"/>
  <c r="AE133" i="5"/>
  <c r="AS126" i="5"/>
  <c r="AT126" i="5" s="1"/>
  <c r="AS416" i="5"/>
  <c r="AT416" i="5" s="1"/>
  <c r="AS385" i="5"/>
  <c r="AT385" i="5" s="1"/>
  <c r="AS111" i="5"/>
  <c r="AU111" i="5" s="1"/>
  <c r="AD133" i="5"/>
  <c r="AD267" i="5"/>
  <c r="AS68" i="5"/>
  <c r="AT68" i="5" s="1"/>
  <c r="AE416" i="5"/>
  <c r="AD27" i="5"/>
  <c r="AS447" i="5"/>
  <c r="AT447" i="5" s="1"/>
  <c r="AD385" i="5"/>
  <c r="AD350" i="5"/>
  <c r="AS350" i="5"/>
  <c r="AT350" i="5" s="1"/>
  <c r="AE375" i="5"/>
  <c r="AS179" i="5"/>
  <c r="AU179" i="5" s="1"/>
  <c r="AE35" i="5"/>
  <c r="AD73" i="5"/>
  <c r="AD29" i="5"/>
  <c r="AS155" i="5"/>
  <c r="AU155" i="5" s="1"/>
  <c r="AE505" i="5"/>
  <c r="AS369" i="5"/>
  <c r="AT369" i="5" s="1"/>
  <c r="AE43" i="5"/>
  <c r="AD155" i="5"/>
  <c r="AE68" i="5"/>
  <c r="AS73" i="5"/>
  <c r="AT73" i="5" s="1"/>
  <c r="AE111" i="5"/>
  <c r="AD369" i="5"/>
  <c r="AD341" i="5"/>
  <c r="AS505" i="5"/>
  <c r="AT505" i="5" s="1"/>
  <c r="AD126" i="5"/>
  <c r="AS388" i="5"/>
  <c r="AU388" i="5" s="1"/>
  <c r="AD465" i="5"/>
  <c r="AD132" i="5"/>
  <c r="AU257" i="5"/>
  <c r="AD125" i="5"/>
  <c r="AD529" i="5"/>
  <c r="AE296" i="5"/>
  <c r="AD253" i="5"/>
  <c r="AD228" i="5"/>
  <c r="AD55" i="5"/>
  <c r="AS529" i="5"/>
  <c r="AU529" i="5" s="1"/>
  <c r="AD499" i="5"/>
  <c r="AD168" i="5"/>
  <c r="AS228" i="5"/>
  <c r="AU228" i="5" s="1"/>
  <c r="AD236" i="5"/>
  <c r="AE499" i="5"/>
  <c r="AE403" i="5"/>
  <c r="AD33" i="5"/>
  <c r="AE147" i="5"/>
  <c r="AE157" i="5"/>
  <c r="AS168" i="5"/>
  <c r="AU168" i="5" s="1"/>
  <c r="AS99" i="5"/>
  <c r="AU99" i="5" s="1"/>
  <c r="AE253" i="5"/>
  <c r="AD66" i="5"/>
  <c r="AS473" i="5"/>
  <c r="AU473" i="5" s="1"/>
  <c r="AS236" i="5"/>
  <c r="AU236" i="5" s="1"/>
  <c r="AE214" i="5"/>
  <c r="AS141" i="5"/>
  <c r="AU141" i="5" s="1"/>
  <c r="AS404" i="5"/>
  <c r="AU404" i="5" s="1"/>
  <c r="AD268" i="5"/>
  <c r="AS403" i="5"/>
  <c r="AU403" i="5" s="1"/>
  <c r="AE33" i="5"/>
  <c r="AS218" i="5"/>
  <c r="AT218" i="5" s="1"/>
  <c r="AS398" i="5"/>
  <c r="AT398" i="5" s="1"/>
  <c r="AD173" i="5"/>
  <c r="AS66" i="5"/>
  <c r="AU66" i="5" s="1"/>
  <c r="AE473" i="5"/>
  <c r="AD119" i="5"/>
  <c r="AS214" i="5"/>
  <c r="AU214" i="5" s="1"/>
  <c r="AE141" i="5"/>
  <c r="AE404" i="5"/>
  <c r="AE268" i="5"/>
  <c r="AD259" i="5"/>
  <c r="AD266" i="5"/>
  <c r="AE257" i="5"/>
  <c r="AS229" i="5"/>
  <c r="AU229" i="5" s="1"/>
  <c r="AE229" i="5"/>
  <c r="AE536" i="5"/>
  <c r="AS108" i="5"/>
  <c r="AT108" i="5" s="1"/>
  <c r="AD218" i="5"/>
  <c r="AS65" i="5"/>
  <c r="AU65" i="5" s="1"/>
  <c r="AD147" i="5"/>
  <c r="AE99" i="5"/>
  <c r="AS157" i="5"/>
  <c r="AU157" i="5" s="1"/>
  <c r="AE541" i="5"/>
  <c r="AD90" i="5"/>
  <c r="AE282" i="5"/>
  <c r="AS468" i="5"/>
  <c r="AT468" i="5" s="1"/>
  <c r="AS528" i="5"/>
  <c r="AU528" i="5" s="1"/>
  <c r="AD134" i="5"/>
  <c r="AS428" i="5"/>
  <c r="AU428" i="5" s="1"/>
  <c r="AE468" i="5"/>
  <c r="AS198" i="5"/>
  <c r="AT198" i="5" s="1"/>
  <c r="AD513" i="5"/>
  <c r="AE329" i="5"/>
  <c r="AS285" i="5"/>
  <c r="AT285" i="5" s="1"/>
  <c r="AE521" i="5"/>
  <c r="AE380" i="5"/>
  <c r="AS513" i="5"/>
  <c r="AU513" i="5" s="1"/>
  <c r="AE331" i="5"/>
  <c r="AD395" i="5"/>
  <c r="AS318" i="5"/>
  <c r="AU318" i="5" s="1"/>
  <c r="AD329" i="5"/>
  <c r="AD83" i="5"/>
  <c r="AE285" i="5"/>
  <c r="AD521" i="5"/>
  <c r="AE198" i="5"/>
  <c r="AD255" i="5"/>
  <c r="AE471" i="5"/>
  <c r="AD471" i="5"/>
  <c r="AD380" i="5"/>
  <c r="AD331" i="5"/>
  <c r="AE395" i="5"/>
  <c r="AE318" i="5"/>
  <c r="AS270" i="5"/>
  <c r="AT270" i="5" s="1"/>
  <c r="AD427" i="5"/>
  <c r="AE83" i="5"/>
  <c r="AS402" i="5"/>
  <c r="AU402" i="5" s="1"/>
  <c r="AD270" i="5"/>
  <c r="AE427" i="5"/>
  <c r="AE402" i="5"/>
  <c r="AS255" i="5"/>
  <c r="AT255" i="5" s="1"/>
  <c r="Y39" i="4"/>
  <c r="Z39" i="4" s="1"/>
  <c r="AF39" i="4" s="1"/>
  <c r="AE62" i="5"/>
  <c r="AS205" i="5"/>
  <c r="AT205" i="5" s="1"/>
  <c r="AD251" i="5"/>
  <c r="AU175" i="5"/>
  <c r="AS82" i="5"/>
  <c r="AU82" i="5" s="1"/>
  <c r="AE39" i="4"/>
  <c r="AS401" i="5"/>
  <c r="AU401" i="5" s="1"/>
  <c r="AS437" i="5"/>
  <c r="AT437" i="5" s="1"/>
  <c r="AD82" i="5"/>
  <c r="AE437" i="5"/>
  <c r="AE251" i="5"/>
  <c r="AD424" i="5"/>
  <c r="AS387" i="5"/>
  <c r="AT387" i="5" s="1"/>
  <c r="AS103" i="5"/>
  <c r="AT103" i="5" s="1"/>
  <c r="AE175" i="5"/>
  <c r="AD381" i="5"/>
  <c r="AE424" i="5"/>
  <c r="AS316" i="5"/>
  <c r="AU316" i="5" s="1"/>
  <c r="AD7" i="5"/>
  <c r="B215" i="2" s="1"/>
  <c r="B216" i="2" s="1"/>
  <c r="B217" i="2" s="1"/>
  <c r="B227" i="2" s="1"/>
  <c r="B229" i="2" s="1"/>
  <c r="AE381" i="5"/>
  <c r="AD67" i="5"/>
  <c r="AE509" i="5"/>
  <c r="AD316" i="5"/>
  <c r="AS67" i="5"/>
  <c r="AU67" i="5" s="1"/>
  <c r="AS486" i="5"/>
  <c r="AU486" i="5" s="1"/>
  <c r="AE7" i="5"/>
  <c r="AS472" i="5"/>
  <c r="AT472" i="5" s="1"/>
  <c r="AE103" i="5"/>
  <c r="AD175" i="5"/>
  <c r="AD410" i="5"/>
  <c r="AE339" i="5"/>
  <c r="AS558" i="5"/>
  <c r="AU558" i="5" s="1"/>
  <c r="AE555" i="5"/>
  <c r="AE515" i="5"/>
  <c r="AD553" i="5"/>
  <c r="AD339" i="5"/>
  <c r="AE178" i="5"/>
  <c r="AE72" i="5"/>
  <c r="X12" i="4"/>
  <c r="AJ12" i="4" s="1"/>
  <c r="AD34" i="5"/>
  <c r="AE558" i="5"/>
  <c r="AS555" i="5"/>
  <c r="AU555" i="5" s="1"/>
  <c r="AE553" i="5"/>
  <c r="AS128" i="5"/>
  <c r="AT128" i="5" s="1"/>
  <c r="AE209" i="5"/>
  <c r="AD388" i="5"/>
  <c r="AE406" i="5"/>
  <c r="AD498" i="5"/>
  <c r="AD515" i="5"/>
  <c r="AD433" i="5"/>
  <c r="AE498" i="5"/>
  <c r="AS411" i="5"/>
  <c r="AU411" i="5" s="1"/>
  <c r="AS321" i="5"/>
  <c r="AU321" i="5" s="1"/>
  <c r="AE377" i="5"/>
  <c r="AE153" i="5"/>
  <c r="AE263" i="5"/>
  <c r="AE75" i="5"/>
  <c r="AE102" i="5"/>
  <c r="AD193" i="5"/>
  <c r="AE128" i="5"/>
  <c r="AS102" i="5"/>
  <c r="AT102" i="5" s="1"/>
  <c r="AD110" i="5"/>
  <c r="Y12" i="4"/>
  <c r="Z12" i="4" s="1"/>
  <c r="AF12" i="4" s="1"/>
  <c r="AG12" i="4" s="1"/>
  <c r="AI12" i="4" s="1"/>
  <c r="AD411" i="5"/>
  <c r="AS263" i="5"/>
  <c r="AU263" i="5" s="1"/>
  <c r="AS75" i="5"/>
  <c r="AU75" i="5" s="1"/>
  <c r="AS209" i="5"/>
  <c r="AT209" i="5" s="1"/>
  <c r="AE171" i="5"/>
  <c r="AE433" i="5"/>
  <c r="AS29" i="5"/>
  <c r="AT29" i="5" s="1"/>
  <c r="AS377" i="5"/>
  <c r="AU377" i="5" s="1"/>
  <c r="AS153" i="5"/>
  <c r="AT153" i="5" s="1"/>
  <c r="AE465" i="5"/>
  <c r="AD43" i="5"/>
  <c r="AD179" i="5"/>
  <c r="AS110" i="5"/>
  <c r="AU110" i="5" s="1"/>
  <c r="AE447" i="5"/>
  <c r="AD171" i="5"/>
  <c r="AS35" i="5"/>
  <c r="AT35" i="5" s="1"/>
  <c r="AS375" i="5"/>
  <c r="AT375" i="5" s="1"/>
  <c r="AE182" i="5"/>
  <c r="AD78" i="5"/>
  <c r="AS20" i="5"/>
  <c r="AT20" i="5" s="1"/>
  <c r="AD69" i="5"/>
  <c r="AE135" i="5"/>
  <c r="AD414" i="5"/>
  <c r="AE481" i="5"/>
  <c r="AD560" i="5"/>
  <c r="AS240" i="5"/>
  <c r="AT240" i="5" s="1"/>
  <c r="AE129" i="5"/>
  <c r="AD135" i="5"/>
  <c r="AE394" i="5"/>
  <c r="AD362" i="5"/>
  <c r="AS414" i="5"/>
  <c r="AT414" i="5" s="1"/>
  <c r="AD204" i="5"/>
  <c r="AS560" i="5"/>
  <c r="AT560" i="5" s="1"/>
  <c r="AS231" i="5"/>
  <c r="AU231" i="5" s="1"/>
  <c r="AS219" i="5"/>
  <c r="AT219" i="5" s="1"/>
  <c r="AS129" i="5"/>
  <c r="AT129" i="5" s="1"/>
  <c r="AE201" i="5"/>
  <c r="AD93" i="5"/>
  <c r="AE362" i="5"/>
  <c r="AS53" i="5"/>
  <c r="AT53" i="5" s="1"/>
  <c r="AS204" i="5"/>
  <c r="AT204" i="5" s="1"/>
  <c r="AE231" i="5"/>
  <c r="AE240" i="5"/>
  <c r="AE163" i="5"/>
  <c r="AD53" i="5"/>
  <c r="AD219" i="5"/>
  <c r="AS93" i="5"/>
  <c r="AT93" i="5" s="1"/>
  <c r="AS199" i="5"/>
  <c r="AT199" i="5" s="1"/>
  <c r="AE344" i="5"/>
  <c r="AS163" i="5"/>
  <c r="AT163" i="5" s="1"/>
  <c r="AS247" i="5"/>
  <c r="AT247" i="5" s="1"/>
  <c r="AE321" i="5"/>
  <c r="AD320" i="5"/>
  <c r="AS291" i="5"/>
  <c r="AU291" i="5" s="1"/>
  <c r="AE108" i="5"/>
  <c r="AD348" i="5"/>
  <c r="AS320" i="5"/>
  <c r="AT320" i="5" s="1"/>
  <c r="AD291" i="5"/>
  <c r="AE183" i="5"/>
  <c r="AE348" i="5"/>
  <c r="AU182" i="5"/>
  <c r="AT72" i="5"/>
  <c r="AE413" i="5"/>
  <c r="AD182" i="5"/>
  <c r="AD413" i="5"/>
  <c r="AD72" i="5"/>
  <c r="AS406" i="5"/>
  <c r="AT406" i="5" s="1"/>
  <c r="AS480" i="5"/>
  <c r="AT480" i="5" s="1"/>
  <c r="AD45" i="5"/>
  <c r="AE317" i="5"/>
  <c r="AE20" i="5"/>
  <c r="AD317" i="5"/>
  <c r="AS272" i="5"/>
  <c r="AU272" i="5" s="1"/>
  <c r="Y26" i="4"/>
  <c r="Z26" i="4" s="1"/>
  <c r="X26" i="4"/>
  <c r="AJ26" i="4" s="1"/>
  <c r="AE26" i="4"/>
  <c r="AD272" i="5"/>
  <c r="AS45" i="5"/>
  <c r="AT45" i="5" s="1"/>
  <c r="AE323" i="5"/>
  <c r="AE559" i="5"/>
  <c r="AS323" i="5"/>
  <c r="AU323" i="5" s="1"/>
  <c r="AS559" i="5"/>
  <c r="AU559" i="5" s="1"/>
  <c r="AS409" i="5"/>
  <c r="AU409" i="5" s="1"/>
  <c r="AE387" i="5"/>
  <c r="AD409" i="5"/>
  <c r="AR11" i="5"/>
  <c r="Y22" i="4"/>
  <c r="Z22" i="4" s="1"/>
  <c r="AA22" i="4" s="1"/>
  <c r="AC22" i="4" s="1"/>
  <c r="AD22" i="4" s="1"/>
  <c r="AE22" i="4"/>
  <c r="AE129" i="4"/>
  <c r="X72" i="4"/>
  <c r="AJ72" i="4" s="1"/>
  <c r="AE72" i="4"/>
  <c r="AO72" i="4"/>
  <c r="AS11" i="5"/>
  <c r="AU11" i="5" s="1"/>
  <c r="Y148" i="4"/>
  <c r="Z148" i="4" s="1"/>
  <c r="AF148" i="4" s="1"/>
  <c r="AE148" i="4"/>
  <c r="Y109" i="4"/>
  <c r="Z109" i="4" s="1"/>
  <c r="AF109" i="4" s="1"/>
  <c r="AE109" i="4"/>
  <c r="AA143" i="4"/>
  <c r="AC143" i="4" s="1"/>
  <c r="AD143" i="4" s="1"/>
  <c r="AT127" i="5"/>
  <c r="AS287" i="5"/>
  <c r="AT287" i="5" s="1"/>
  <c r="AA42" i="4"/>
  <c r="AC42" i="4" s="1"/>
  <c r="AD42" i="4" s="1"/>
  <c r="AQ9" i="5"/>
  <c r="AE79" i="4"/>
  <c r="X129" i="4"/>
  <c r="AJ129" i="4" s="1"/>
  <c r="AF152" i="4"/>
  <c r="AG152" i="4" s="1"/>
  <c r="AI152" i="4" s="1"/>
  <c r="AS249" i="5"/>
  <c r="AU249" i="5" s="1"/>
  <c r="AF67" i="4"/>
  <c r="AG67" i="4" s="1"/>
  <c r="AI67" i="4" s="1"/>
  <c r="AE67" i="4"/>
  <c r="X67" i="4"/>
  <c r="AA67" i="4" s="1"/>
  <c r="AC67" i="4" s="1"/>
  <c r="AD67" i="4" s="1"/>
  <c r="X79" i="4"/>
  <c r="AJ79" i="4" s="1"/>
  <c r="AD130" i="5"/>
  <c r="AD449" i="5"/>
  <c r="X152" i="4"/>
  <c r="AA152" i="4" s="1"/>
  <c r="AC152" i="4" s="1"/>
  <c r="AD152" i="4" s="1"/>
  <c r="AK143" i="4"/>
  <c r="AE152" i="4"/>
  <c r="Y34" i="4"/>
  <c r="Z34" i="4" s="1"/>
  <c r="AE34" i="4"/>
  <c r="X34" i="4"/>
  <c r="AJ34" i="4" s="1"/>
  <c r="X133" i="4"/>
  <c r="AJ133" i="4" s="1"/>
  <c r="AE133" i="4"/>
  <c r="Y133" i="4"/>
  <c r="Z133" i="4" s="1"/>
  <c r="Y21" i="4"/>
  <c r="Z21" i="4" s="1"/>
  <c r="AE21" i="4"/>
  <c r="X21" i="4"/>
  <c r="AJ21" i="4" s="1"/>
  <c r="Y58" i="4"/>
  <c r="Z58" i="4" s="1"/>
  <c r="X58" i="4"/>
  <c r="AJ58" i="4" s="1"/>
  <c r="AE58" i="4"/>
  <c r="Y144" i="4"/>
  <c r="X144" i="4"/>
  <c r="AE144" i="4"/>
  <c r="Y24" i="4"/>
  <c r="Z24" i="4" s="1"/>
  <c r="AE24" i="4"/>
  <c r="X24" i="4"/>
  <c r="Y83" i="4"/>
  <c r="Z83" i="4" s="1"/>
  <c r="AE83" i="4"/>
  <c r="AE62" i="4"/>
  <c r="Y62" i="4"/>
  <c r="Z62" i="4" s="1"/>
  <c r="Y101" i="4"/>
  <c r="Z101" i="4" s="1"/>
  <c r="X101" i="4"/>
  <c r="AJ101" i="4" s="1"/>
  <c r="AE101" i="4"/>
  <c r="AF79" i="4"/>
  <c r="Y132" i="4"/>
  <c r="Z132" i="4" s="1"/>
  <c r="AF132" i="4" s="1"/>
  <c r="AE132" i="4"/>
  <c r="X132" i="4"/>
  <c r="Y94" i="4"/>
  <c r="Z94" i="4" s="1"/>
  <c r="X94" i="4"/>
  <c r="AA140" i="4"/>
  <c r="AC140" i="4" s="1"/>
  <c r="AD140" i="4" s="1"/>
  <c r="AK140" i="4"/>
  <c r="AF140" i="4"/>
  <c r="X62" i="4"/>
  <c r="AJ62" i="4" s="1"/>
  <c r="X83" i="4"/>
  <c r="AJ83" i="4" s="1"/>
  <c r="X141" i="4"/>
  <c r="AJ141" i="4" s="1"/>
  <c r="Y141" i="4"/>
  <c r="AE141" i="4"/>
  <c r="Y59" i="4"/>
  <c r="Z59" i="4" s="1"/>
  <c r="AE59" i="4"/>
  <c r="Y10" i="4"/>
  <c r="Z10" i="4" s="1"/>
  <c r="X10" i="4"/>
  <c r="AJ10" i="4" s="1"/>
  <c r="AE10" i="4"/>
  <c r="Y130" i="4"/>
  <c r="X130" i="4"/>
  <c r="AE130" i="4"/>
  <c r="X155" i="4"/>
  <c r="Y155" i="4"/>
  <c r="AF105" i="4"/>
  <c r="AA105" i="4"/>
  <c r="AC105" i="4" s="1"/>
  <c r="AD105" i="4" s="1"/>
  <c r="AK105" i="4"/>
  <c r="AD287" i="5"/>
  <c r="AD249" i="5"/>
  <c r="AE449" i="5"/>
  <c r="AE292" i="5"/>
  <c r="AS393" i="5"/>
  <c r="AT393" i="5" s="1"/>
  <c r="AS292" i="5"/>
  <c r="AU292" i="5" s="1"/>
  <c r="AS391" i="5"/>
  <c r="AT391" i="5" s="1"/>
  <c r="AD393" i="5"/>
  <c r="AE391" i="5"/>
  <c r="AA84" i="4"/>
  <c r="AC84" i="4" s="1"/>
  <c r="AD84" i="4" s="1"/>
  <c r="AK84" i="4"/>
  <c r="AF84" i="4"/>
  <c r="AE286" i="5"/>
  <c r="AD286" i="5"/>
  <c r="AS162" i="5"/>
  <c r="AT162" i="5" s="1"/>
  <c r="AD123" i="5"/>
  <c r="AD74" i="5"/>
  <c r="AG143" i="4"/>
  <c r="AI143" i="4" s="1"/>
  <c r="AO143" i="4"/>
  <c r="AD11" i="5"/>
  <c r="AG75" i="4"/>
  <c r="AI75" i="4" s="1"/>
  <c r="AE11" i="5"/>
  <c r="AS235" i="5"/>
  <c r="AU235" i="5" s="1"/>
  <c r="AE10" i="5"/>
  <c r="AS10" i="5"/>
  <c r="AU10" i="5" s="1"/>
  <c r="AD235" i="5"/>
  <c r="AE123" i="5"/>
  <c r="AE74" i="5"/>
  <c r="AE162" i="5"/>
  <c r="AS299" i="5"/>
  <c r="AU299" i="5" s="1"/>
  <c r="AA123" i="4"/>
  <c r="AC123" i="4" s="1"/>
  <c r="AD123" i="4" s="1"/>
  <c r="AO108" i="4"/>
  <c r="AK40" i="4"/>
  <c r="AA32" i="4"/>
  <c r="AC32" i="4" s="1"/>
  <c r="AD32" i="4" s="1"/>
  <c r="AD557" i="5"/>
  <c r="AE549" i="5"/>
  <c r="AK123" i="4"/>
  <c r="AE271" i="5"/>
  <c r="AA40" i="4"/>
  <c r="AC40" i="4" s="1"/>
  <c r="AD40" i="4" s="1"/>
  <c r="AR40" i="4" s="1"/>
  <c r="AT40" i="4" s="1"/>
  <c r="AD311" i="5"/>
  <c r="AS8" i="5"/>
  <c r="AT8" i="5" s="1"/>
  <c r="AK99" i="4"/>
  <c r="AS169" i="5"/>
  <c r="AT169" i="5" s="1"/>
  <c r="AE340" i="5"/>
  <c r="AD397" i="5"/>
  <c r="AD538" i="5"/>
  <c r="AE407" i="5"/>
  <c r="AD176" i="5"/>
  <c r="AE311" i="5"/>
  <c r="AE130" i="5"/>
  <c r="AS340" i="5"/>
  <c r="AU340" i="5" s="1"/>
  <c r="AE412" i="5"/>
  <c r="AS271" i="5"/>
  <c r="AT271" i="5" s="1"/>
  <c r="AD445" i="5"/>
  <c r="AS95" i="5"/>
  <c r="AT95" i="5" s="1"/>
  <c r="AE538" i="5"/>
  <c r="AS412" i="5"/>
  <c r="AT412" i="5" s="1"/>
  <c r="AD334" i="5"/>
  <c r="AE445" i="5"/>
  <c r="AD95" i="5"/>
  <c r="AD458" i="5"/>
  <c r="AS79" i="5"/>
  <c r="AT79" i="5" s="1"/>
  <c r="AX78" i="5" s="1"/>
  <c r="AY78" i="5" s="1"/>
  <c r="AE52" i="5"/>
  <c r="AS458" i="5"/>
  <c r="AU458" i="5" s="1"/>
  <c r="AE79" i="5"/>
  <c r="AS52" i="5"/>
  <c r="AU52" i="5" s="1"/>
  <c r="AD233" i="5"/>
  <c r="AE510" i="5"/>
  <c r="AE467" i="5"/>
  <c r="AS233" i="5"/>
  <c r="AU233" i="5" s="1"/>
  <c r="AS396" i="5"/>
  <c r="AT396" i="5" s="1"/>
  <c r="AD169" i="5"/>
  <c r="AS510" i="5"/>
  <c r="AU510" i="5" s="1"/>
  <c r="AD467" i="5"/>
  <c r="AE299" i="5"/>
  <c r="AD396" i="5"/>
  <c r="AE397" i="5"/>
  <c r="AS443" i="5"/>
  <c r="AU443" i="5" s="1"/>
  <c r="AE373" i="5"/>
  <c r="AD448" i="5"/>
  <c r="AS364" i="5"/>
  <c r="AT364" i="5" s="1"/>
  <c r="AE215" i="5"/>
  <c r="AD215" i="5"/>
  <c r="AS549" i="5"/>
  <c r="AU549" i="5" s="1"/>
  <c r="AE557" i="5"/>
  <c r="AE448" i="5"/>
  <c r="AD364" i="5"/>
  <c r="AS56" i="5"/>
  <c r="AU56" i="5" s="1"/>
  <c r="AE370" i="5"/>
  <c r="AE107" i="5"/>
  <c r="AE57" i="5"/>
  <c r="AD39" i="5"/>
  <c r="AS191" i="5"/>
  <c r="AU191" i="5" s="1"/>
  <c r="AE172" i="5"/>
  <c r="AS490" i="5"/>
  <c r="AT490" i="5" s="1"/>
  <c r="AD464" i="5"/>
  <c r="AD373" i="5"/>
  <c r="AS539" i="5"/>
  <c r="AT539" i="5" s="1"/>
  <c r="AD443" i="5"/>
  <c r="AS550" i="5"/>
  <c r="AU550" i="5" s="1"/>
  <c r="AS503" i="5"/>
  <c r="AT503" i="5" s="1"/>
  <c r="AE490" i="5"/>
  <c r="AE539" i="5"/>
  <c r="AE550" i="5"/>
  <c r="AD290" i="5"/>
  <c r="AE464" i="5"/>
  <c r="AE252" i="5"/>
  <c r="AD96" i="5"/>
  <c r="AS154" i="5"/>
  <c r="AU154" i="5" s="1"/>
  <c r="AE290" i="5"/>
  <c r="AD370" i="5"/>
  <c r="AS230" i="5"/>
  <c r="AT230" i="5" s="1"/>
  <c r="AD252" i="5"/>
  <c r="AS96" i="5"/>
  <c r="AU96" i="5" s="1"/>
  <c r="AE154" i="5"/>
  <c r="AD542" i="5"/>
  <c r="AS457" i="5"/>
  <c r="AT457" i="5" s="1"/>
  <c r="AE457" i="5"/>
  <c r="AE230" i="5"/>
  <c r="AS542" i="5"/>
  <c r="AU542" i="5" s="1"/>
  <c r="AD191" i="5"/>
  <c r="AS57" i="5"/>
  <c r="AT57" i="5" s="1"/>
  <c r="AS207" i="5"/>
  <c r="AU207" i="5" s="1"/>
  <c r="AE207" i="5"/>
  <c r="AE212" i="5"/>
  <c r="AD284" i="5"/>
  <c r="AD212" i="5"/>
  <c r="AE418" i="5"/>
  <c r="AE85" i="5"/>
  <c r="AS196" i="5"/>
  <c r="AU196" i="5" s="1"/>
  <c r="AS352" i="5"/>
  <c r="AU352" i="5" s="1"/>
  <c r="AE161" i="5"/>
  <c r="AE64" i="5"/>
  <c r="AD547" i="5"/>
  <c r="AE288" i="5"/>
  <c r="AD187" i="5"/>
  <c r="AD435" i="5"/>
  <c r="AE305" i="5"/>
  <c r="AE187" i="5"/>
  <c r="AS435" i="5"/>
  <c r="AT435" i="5" s="1"/>
  <c r="AD305" i="5"/>
  <c r="AD71" i="5"/>
  <c r="AD315" i="5"/>
  <c r="AS315" i="5"/>
  <c r="AT315" i="5" s="1"/>
  <c r="AE250" i="5"/>
  <c r="AE156" i="5"/>
  <c r="AS346" i="5"/>
  <c r="AT346" i="5" s="1"/>
  <c r="AD149" i="5"/>
  <c r="AE312" i="5"/>
  <c r="AS124" i="5"/>
  <c r="AU124" i="5" s="1"/>
  <c r="AD367" i="5"/>
  <c r="AE124" i="5"/>
  <c r="AE526" i="5"/>
  <c r="AS307" i="5"/>
  <c r="AT307" i="5" s="1"/>
  <c r="AS211" i="5"/>
  <c r="AT211" i="5" s="1"/>
  <c r="AS526" i="5"/>
  <c r="AU526" i="5" s="1"/>
  <c r="AE531" i="5"/>
  <c r="AD312" i="5"/>
  <c r="AD225" i="5"/>
  <c r="AD159" i="5"/>
  <c r="AS330" i="5"/>
  <c r="AT330" i="5" s="1"/>
  <c r="AD485" i="5"/>
  <c r="AS419" i="5"/>
  <c r="AU419" i="5" s="1"/>
  <c r="AD330" i="5"/>
  <c r="AE485" i="5"/>
  <c r="AS139" i="5"/>
  <c r="AT139" i="5" s="1"/>
  <c r="AS185" i="5"/>
  <c r="AT185" i="5" s="1"/>
  <c r="AS519" i="5"/>
  <c r="AU519" i="5" s="1"/>
  <c r="AS227" i="5"/>
  <c r="AU227" i="5" s="1"/>
  <c r="AE246" i="5"/>
  <c r="AE224" i="5"/>
  <c r="AD47" i="5"/>
  <c r="AS487" i="5"/>
  <c r="AU487" i="5" s="1"/>
  <c r="AA124" i="4"/>
  <c r="AC124" i="4" s="1"/>
  <c r="AD124" i="4" s="1"/>
  <c r="AE487" i="5"/>
  <c r="AE326" i="5"/>
  <c r="AD167" i="5"/>
  <c r="AD28" i="5"/>
  <c r="AS326" i="5"/>
  <c r="AU326" i="5" s="1"/>
  <c r="AE118" i="5"/>
  <c r="AE176" i="5"/>
  <c r="AS407" i="5"/>
  <c r="AT407" i="5" s="1"/>
  <c r="AS39" i="5"/>
  <c r="AT39" i="5" s="1"/>
  <c r="AE98" i="5"/>
  <c r="AS172" i="5"/>
  <c r="AU172" i="5" s="1"/>
  <c r="AE284" i="5"/>
  <c r="AS547" i="5"/>
  <c r="AU547" i="5" s="1"/>
  <c r="AD488" i="5"/>
  <c r="AS418" i="5"/>
  <c r="AT418" i="5" s="1"/>
  <c r="AE196" i="5"/>
  <c r="AS357" i="5"/>
  <c r="AU357" i="5" s="1"/>
  <c r="AD358" i="5"/>
  <c r="AS98" i="5"/>
  <c r="AT98" i="5" s="1"/>
  <c r="AE488" i="5"/>
  <c r="AD357" i="5"/>
  <c r="AD144" i="5"/>
  <c r="AS322" i="5"/>
  <c r="AT322" i="5" s="1"/>
  <c r="AE144" i="5"/>
  <c r="AS107" i="5"/>
  <c r="AU107" i="5" s="1"/>
  <c r="AE352" i="5"/>
  <c r="AD85" i="5"/>
  <c r="AD322" i="5"/>
  <c r="AD161" i="5"/>
  <c r="AS64" i="5"/>
  <c r="AT64" i="5" s="1"/>
  <c r="AD8" i="5"/>
  <c r="AD139" i="5"/>
  <c r="AE346" i="5"/>
  <c r="AE423" i="5"/>
  <c r="AE185" i="5"/>
  <c r="AE419" i="5"/>
  <c r="AE159" i="5"/>
  <c r="AE227" i="5"/>
  <c r="AD37" i="5"/>
  <c r="AS246" i="5"/>
  <c r="AU246" i="5" s="1"/>
  <c r="AD524" i="5"/>
  <c r="AS423" i="5"/>
  <c r="AU423" i="5" s="1"/>
  <c r="AE37" i="5"/>
  <c r="AE524" i="5"/>
  <c r="AE319" i="5"/>
  <c r="AE100" i="5"/>
  <c r="AD319" i="5"/>
  <c r="AD273" i="5"/>
  <c r="AE442" i="5"/>
  <c r="AS225" i="5"/>
  <c r="AT225" i="5" s="1"/>
  <c r="AD100" i="5"/>
  <c r="AS273" i="5"/>
  <c r="AT273" i="5" s="1"/>
  <c r="AS281" i="5"/>
  <c r="AT281" i="5" s="1"/>
  <c r="AE408" i="5"/>
  <c r="AS442" i="5"/>
  <c r="AU442" i="5" s="1"/>
  <c r="AD281" i="5"/>
  <c r="AE535" i="5"/>
  <c r="AD86" i="5"/>
  <c r="AS535" i="5"/>
  <c r="AU535" i="5" s="1"/>
  <c r="AE489" i="5"/>
  <c r="AO68" i="4"/>
  <c r="AD489" i="5"/>
  <c r="AS224" i="5"/>
  <c r="AT224" i="5" s="1"/>
  <c r="AE61" i="5"/>
  <c r="AK68" i="4"/>
  <c r="AE355" i="5"/>
  <c r="AE430" i="5"/>
  <c r="AS61" i="5"/>
  <c r="AU61" i="5" s="1"/>
  <c r="AE177" i="5"/>
  <c r="AS28" i="5"/>
  <c r="AU28" i="5" s="1"/>
  <c r="AS355" i="5"/>
  <c r="AT355" i="5" s="1"/>
  <c r="AS430" i="5"/>
  <c r="AU430" i="5" s="1"/>
  <c r="AD256" i="5"/>
  <c r="AE337" i="5"/>
  <c r="AD389" i="5"/>
  <c r="AD56" i="5"/>
  <c r="AD307" i="5"/>
  <c r="AD211" i="5"/>
  <c r="AG103" i="4"/>
  <c r="AI103" i="4" s="1"/>
  <c r="AD87" i="5"/>
  <c r="AE493" i="5"/>
  <c r="AA68" i="4"/>
  <c r="AC68" i="4" s="1"/>
  <c r="AD68" i="4" s="1"/>
  <c r="AA19" i="4"/>
  <c r="AC19" i="4" s="1"/>
  <c r="AD19" i="4" s="1"/>
  <c r="AR19" i="4" s="1"/>
  <c r="AT19" i="4" s="1"/>
  <c r="AS493" i="5"/>
  <c r="AT493" i="5" s="1"/>
  <c r="AS195" i="5"/>
  <c r="AT195" i="5" s="1"/>
  <c r="AS92" i="5"/>
  <c r="AT92" i="5" s="1"/>
  <c r="AK9" i="4"/>
  <c r="AS190" i="5"/>
  <c r="AU190" i="5" s="1"/>
  <c r="AS30" i="5"/>
  <c r="AU30" i="5" s="1"/>
  <c r="AD195" i="5"/>
  <c r="AK103" i="4"/>
  <c r="AE190" i="5"/>
  <c r="AE30" i="5"/>
  <c r="AS41" i="5"/>
  <c r="AU41" i="5" s="1"/>
  <c r="AD439" i="5"/>
  <c r="AD192" i="5"/>
  <c r="AS86" i="5"/>
  <c r="AT86" i="5" s="1"/>
  <c r="AS177" i="5"/>
  <c r="AT177" i="5" s="1"/>
  <c r="AS164" i="5"/>
  <c r="AU164" i="5" s="1"/>
  <c r="AD164" i="5"/>
  <c r="AE461" i="5"/>
  <c r="AE192" i="5"/>
  <c r="AE347" i="5"/>
  <c r="AE146" i="5"/>
  <c r="AE41" i="5"/>
  <c r="AD51" i="5"/>
  <c r="AS527" i="5"/>
  <c r="AU527" i="5" s="1"/>
  <c r="AD337" i="5"/>
  <c r="AE87" i="5"/>
  <c r="AK82" i="4"/>
  <c r="AD461" i="5"/>
  <c r="AS367" i="5"/>
  <c r="AU367" i="5" s="1"/>
  <c r="AS51" i="5"/>
  <c r="AU51" i="5" s="1"/>
  <c r="AA120" i="4"/>
  <c r="AC120" i="4" s="1"/>
  <c r="AD120" i="4" s="1"/>
  <c r="AA99" i="4"/>
  <c r="AC99" i="4" s="1"/>
  <c r="AD99" i="4" s="1"/>
  <c r="AD527" i="5"/>
  <c r="AK153" i="4"/>
  <c r="AD408" i="5"/>
  <c r="AS389" i="5"/>
  <c r="AT389" i="5" s="1"/>
  <c r="AA103" i="4"/>
  <c r="AC103" i="4" s="1"/>
  <c r="AD103" i="4" s="1"/>
  <c r="AS368" i="5"/>
  <c r="AT368" i="5" s="1"/>
  <c r="AE368" i="5"/>
  <c r="AE63" i="5"/>
  <c r="AE131" i="5"/>
  <c r="AS131" i="5"/>
  <c r="AT131" i="5" s="1"/>
  <c r="AE167" i="5"/>
  <c r="AD347" i="5"/>
  <c r="AD146" i="5"/>
  <c r="AD63" i="5"/>
  <c r="AS439" i="5"/>
  <c r="AT439" i="5" s="1"/>
  <c r="AG97" i="4"/>
  <c r="AI97" i="4" s="1"/>
  <c r="AA45" i="4"/>
  <c r="AC45" i="4" s="1"/>
  <c r="AD45" i="4" s="1"/>
  <c r="AA102" i="4"/>
  <c r="AC102" i="4" s="1"/>
  <c r="AD102" i="4" s="1"/>
  <c r="AS156" i="5"/>
  <c r="AU156" i="5" s="1"/>
  <c r="AS71" i="5"/>
  <c r="AT71" i="5" s="1"/>
  <c r="AD170" i="5"/>
  <c r="AE170" i="5"/>
  <c r="AS250" i="5"/>
  <c r="AT250" i="5" s="1"/>
  <c r="AF32" i="4"/>
  <c r="AG32" i="4" s="1"/>
  <c r="AI32" i="4" s="1"/>
  <c r="AA122" i="4"/>
  <c r="AC122" i="4" s="1"/>
  <c r="AD122" i="4" s="1"/>
  <c r="AA74" i="4"/>
  <c r="AC74" i="4" s="1"/>
  <c r="AD74" i="4" s="1"/>
  <c r="AK45" i="4"/>
  <c r="AS415" i="5"/>
  <c r="AU415" i="5" s="1"/>
  <c r="AA60" i="4"/>
  <c r="AC60" i="4" s="1"/>
  <c r="AD60" i="4" s="1"/>
  <c r="AD415" i="5"/>
  <c r="AO45" i="4"/>
  <c r="AD516" i="5"/>
  <c r="AA82" i="4"/>
  <c r="AC82" i="4" s="1"/>
  <c r="AD82" i="4" s="1"/>
  <c r="AR82" i="4" s="1"/>
  <c r="AT82" i="4" s="1"/>
  <c r="AS516" i="5"/>
  <c r="AU516" i="5" s="1"/>
  <c r="AS152" i="5"/>
  <c r="AU152" i="5" s="1"/>
  <c r="AE152" i="5"/>
  <c r="AD288" i="5"/>
  <c r="AK74" i="4"/>
  <c r="AK71" i="4"/>
  <c r="AE149" i="5"/>
  <c r="AF120" i="4"/>
  <c r="AO120" i="4" s="1"/>
  <c r="AS531" i="5"/>
  <c r="AU531" i="5" s="1"/>
  <c r="AE554" i="5"/>
  <c r="AS334" i="5"/>
  <c r="AU334" i="5" s="1"/>
  <c r="AE256" i="5"/>
  <c r="AD554" i="5"/>
  <c r="AK120" i="4"/>
  <c r="AK19" i="4"/>
  <c r="AE258" i="5"/>
  <c r="AE276" i="5"/>
  <c r="AE328" i="5"/>
  <c r="AS358" i="5"/>
  <c r="AU358" i="5" s="1"/>
  <c r="AE519" i="5"/>
  <c r="AD92" i="5"/>
  <c r="AS372" i="5"/>
  <c r="AT372" i="5" s="1"/>
  <c r="AS276" i="5"/>
  <c r="AT276" i="5" s="1"/>
  <c r="AS507" i="5"/>
  <c r="AT507" i="5" s="1"/>
  <c r="AD258" i="5"/>
  <c r="AS328" i="5"/>
  <c r="AT328" i="5" s="1"/>
  <c r="AE507" i="5"/>
  <c r="AA81" i="4"/>
  <c r="AC81" i="4" s="1"/>
  <c r="AD81" i="4" s="1"/>
  <c r="AF52" i="4"/>
  <c r="AA52" i="4"/>
  <c r="AC52" i="4" s="1"/>
  <c r="AD52" i="4" s="1"/>
  <c r="AE431" i="5"/>
  <c r="AS89" i="5"/>
  <c r="AU89" i="5" s="1"/>
  <c r="AS47" i="5"/>
  <c r="AT47" i="5" s="1"/>
  <c r="AE474" i="5"/>
  <c r="AF116" i="4"/>
  <c r="AK116" i="4"/>
  <c r="AJ108" i="4"/>
  <c r="AK108" i="4"/>
  <c r="AF38" i="4"/>
  <c r="AA38" i="4"/>
  <c r="AC38" i="4" s="1"/>
  <c r="AD38" i="4" s="1"/>
  <c r="AK38" i="4"/>
  <c r="AF63" i="4"/>
  <c r="AA63" i="4"/>
  <c r="AC63" i="4" s="1"/>
  <c r="AD63" i="4" s="1"/>
  <c r="AK63" i="4"/>
  <c r="AO70" i="4"/>
  <c r="AG70" i="4"/>
  <c r="AI70" i="4" s="1"/>
  <c r="AS431" i="5"/>
  <c r="AU431" i="5" s="1"/>
  <c r="AE89" i="5"/>
  <c r="AS474" i="5"/>
  <c r="AT474" i="5" s="1"/>
  <c r="B93" i="2"/>
  <c r="B113" i="2" s="1"/>
  <c r="H25" i="1" s="1"/>
  <c r="AG44" i="4"/>
  <c r="AI44" i="4" s="1"/>
  <c r="AO44" i="4"/>
  <c r="AF137" i="4"/>
  <c r="AK137" i="4"/>
  <c r="AA137" i="4"/>
  <c r="AC137" i="4" s="1"/>
  <c r="AD137" i="4" s="1"/>
  <c r="AA126" i="4"/>
  <c r="AC126" i="4" s="1"/>
  <c r="AD126" i="4" s="1"/>
  <c r="AF126" i="4"/>
  <c r="AK126" i="4"/>
  <c r="AF95" i="4"/>
  <c r="AA95" i="4"/>
  <c r="AC95" i="4" s="1"/>
  <c r="AD95" i="4" s="1"/>
  <c r="AK64" i="4"/>
  <c r="AF64" i="4"/>
  <c r="AA64" i="4"/>
  <c r="AC64" i="4" s="1"/>
  <c r="AD64" i="4" s="1"/>
  <c r="AS545" i="5"/>
  <c r="AU545" i="5" s="1"/>
  <c r="AD109" i="5"/>
  <c r="AA117" i="4"/>
  <c r="AC117" i="4" s="1"/>
  <c r="AD117" i="4" s="1"/>
  <c r="AA75" i="4"/>
  <c r="AC75" i="4" s="1"/>
  <c r="AD75" i="4" s="1"/>
  <c r="AF86" i="4"/>
  <c r="AA86" i="4"/>
  <c r="AC86" i="4" s="1"/>
  <c r="AD86" i="4" s="1"/>
  <c r="AK86" i="4"/>
  <c r="AJ27" i="4"/>
  <c r="AA27" i="4"/>
  <c r="AC27" i="4" s="1"/>
  <c r="AD27" i="4" s="1"/>
  <c r="AR27" i="4" s="1"/>
  <c r="AT27" i="4" s="1"/>
  <c r="AK27" i="4"/>
  <c r="AF69" i="4"/>
  <c r="AK69" i="4"/>
  <c r="AA69" i="4"/>
  <c r="AC69" i="4" s="1"/>
  <c r="AD69" i="4" s="1"/>
  <c r="AE545" i="5"/>
  <c r="AE109" i="5"/>
  <c r="AD324" i="5"/>
  <c r="AA157" i="4"/>
  <c r="AC157" i="4" s="1"/>
  <c r="AD157" i="4" s="1"/>
  <c r="AF157" i="4"/>
  <c r="AK157" i="4"/>
  <c r="AF14" i="4"/>
  <c r="AF150" i="4"/>
  <c r="AA150" i="4"/>
  <c r="AC150" i="4" s="1"/>
  <c r="AD150" i="4" s="1"/>
  <c r="AK150" i="4"/>
  <c r="AA111" i="4"/>
  <c r="AC111" i="4" s="1"/>
  <c r="AD111" i="4" s="1"/>
  <c r="AS84" i="5"/>
  <c r="AT84" i="5" s="1"/>
  <c r="AE454" i="5"/>
  <c r="AA116" i="4"/>
  <c r="AC116" i="4" s="1"/>
  <c r="AD116" i="4" s="1"/>
  <c r="AJ116" i="4"/>
  <c r="AA71" i="4"/>
  <c r="AC71" i="4" s="1"/>
  <c r="AD71" i="4" s="1"/>
  <c r="AA44" i="4"/>
  <c r="AC44" i="4" s="1"/>
  <c r="AD44" i="4" s="1"/>
  <c r="AJ44" i="4"/>
  <c r="AK128" i="4"/>
  <c r="AF128" i="4"/>
  <c r="AA128" i="4"/>
  <c r="AC128" i="4" s="1"/>
  <c r="AD128" i="4" s="1"/>
  <c r="AA66" i="4"/>
  <c r="AC66" i="4" s="1"/>
  <c r="AD66" i="4" s="1"/>
  <c r="AF77" i="4"/>
  <c r="AA77" i="4"/>
  <c r="AC77" i="4" s="1"/>
  <c r="AD77" i="4" s="1"/>
  <c r="AK77" i="4"/>
  <c r="AE324" i="5"/>
  <c r="AE84" i="5"/>
  <c r="AD372" i="5"/>
  <c r="AK122" i="4"/>
  <c r="AD454" i="5"/>
  <c r="AO123" i="4"/>
  <c r="AG123" i="4"/>
  <c r="AI123" i="4" s="1"/>
  <c r="AA108" i="4"/>
  <c r="AC108" i="4" s="1"/>
  <c r="AD108" i="4" s="1"/>
  <c r="AA8" i="4"/>
  <c r="AC8" i="4" s="1"/>
  <c r="AD8" i="4" s="1"/>
  <c r="AF8" i="4"/>
  <c r="AK8" i="4"/>
  <c r="AA134" i="4"/>
  <c r="AC134" i="4" s="1"/>
  <c r="AD134" i="4" s="1"/>
  <c r="AF134" i="4"/>
  <c r="AK134" i="4"/>
  <c r="AA93" i="4"/>
  <c r="AC93" i="4" s="1"/>
  <c r="AD93" i="4" s="1"/>
  <c r="AF93" i="4"/>
  <c r="AK93" i="4"/>
  <c r="AO111" i="4"/>
  <c r="AG111" i="4"/>
  <c r="AI111" i="4" s="1"/>
  <c r="AK52" i="4"/>
  <c r="AA80" i="4"/>
  <c r="AC80" i="4" s="1"/>
  <c r="AD80" i="4" s="1"/>
  <c r="AF135" i="4"/>
  <c r="AJ70" i="4"/>
  <c r="AA70" i="4"/>
  <c r="AC70" i="4" s="1"/>
  <c r="AD70" i="4" s="1"/>
  <c r="AF23" i="4"/>
  <c r="AA23" i="4"/>
  <c r="AC23" i="4" s="1"/>
  <c r="AD23" i="4" s="1"/>
  <c r="AK23" i="4"/>
  <c r="AD118" i="5"/>
  <c r="AS242" i="5"/>
  <c r="AU242" i="5" s="1"/>
  <c r="AE91" i="5"/>
  <c r="AE242" i="5"/>
  <c r="AE484" i="5"/>
  <c r="AS88" i="5"/>
  <c r="AU88" i="5" s="1"/>
  <c r="AD91" i="5"/>
  <c r="AS497" i="5"/>
  <c r="AU497" i="5" s="1"/>
  <c r="AD484" i="5"/>
  <c r="AD88" i="5"/>
  <c r="AD497" i="5"/>
  <c r="AD503" i="5"/>
  <c r="AE9" i="5"/>
  <c r="AS9" i="5"/>
  <c r="AD9" i="5"/>
  <c r="AK89" i="4"/>
  <c r="AK65" i="4"/>
  <c r="AA151" i="4"/>
  <c r="AC151" i="4" s="1"/>
  <c r="AD151" i="4" s="1"/>
  <c r="AG49" i="4"/>
  <c r="AI49" i="4" s="1"/>
  <c r="AA153" i="4"/>
  <c r="AC153" i="4" s="1"/>
  <c r="AD153" i="4" s="1"/>
  <c r="AK117" i="4"/>
  <c r="AK151" i="4"/>
  <c r="AG114" i="4"/>
  <c r="AI114" i="4" s="1"/>
  <c r="AK124" i="4"/>
  <c r="AK13" i="4"/>
  <c r="AG43" i="4"/>
  <c r="AI43" i="4" s="1"/>
  <c r="AA13" i="4"/>
  <c r="AC13" i="4" s="1"/>
  <c r="AD13" i="4" s="1"/>
  <c r="AO17" i="4"/>
  <c r="AK92" i="4"/>
  <c r="AA65" i="4"/>
  <c r="AC65" i="4" s="1"/>
  <c r="AD65" i="4" s="1"/>
  <c r="AG149" i="4"/>
  <c r="AI149" i="4" s="1"/>
  <c r="AK51" i="4"/>
  <c r="AA89" i="4"/>
  <c r="AC89" i="4" s="1"/>
  <c r="AD89" i="4" s="1"/>
  <c r="AR89" i="4" s="1"/>
  <c r="AT89" i="4" s="1"/>
  <c r="AA17" i="4"/>
  <c r="AC17" i="4" s="1"/>
  <c r="AD17" i="4" s="1"/>
  <c r="AK136" i="4"/>
  <c r="AG139" i="4"/>
  <c r="AI139" i="4" s="1"/>
  <c r="AR139" i="4" s="1"/>
  <c r="AT139" i="4" s="1"/>
  <c r="AA92" i="4"/>
  <c r="AC92" i="4" s="1"/>
  <c r="AD92" i="4" s="1"/>
  <c r="AK97" i="4"/>
  <c r="AK17" i="4"/>
  <c r="AA48" i="4"/>
  <c r="AC48" i="4" s="1"/>
  <c r="AD48" i="4" s="1"/>
  <c r="AA51" i="4"/>
  <c r="AC51" i="4" s="1"/>
  <c r="AD51" i="4" s="1"/>
  <c r="AA97" i="4"/>
  <c r="AC97" i="4" s="1"/>
  <c r="AD97" i="4" s="1"/>
  <c r="AA136" i="4"/>
  <c r="AC136" i="4" s="1"/>
  <c r="AD136" i="4" s="1"/>
  <c r="AR136" i="4" s="1"/>
  <c r="AT136" i="4" s="1"/>
  <c r="AA85" i="4"/>
  <c r="AC85" i="4" s="1"/>
  <c r="AD85" i="4" s="1"/>
  <c r="AA90" i="4"/>
  <c r="AC90" i="4" s="1"/>
  <c r="AD90" i="4" s="1"/>
  <c r="AK138" i="4"/>
  <c r="AJ25" i="4"/>
  <c r="AA25" i="4"/>
  <c r="AC25" i="4" s="1"/>
  <c r="AD25" i="4" s="1"/>
  <c r="AA113" i="4"/>
  <c r="AC113" i="4" s="1"/>
  <c r="AD113" i="4" s="1"/>
  <c r="AA114" i="4"/>
  <c r="AC114" i="4" s="1"/>
  <c r="AD114" i="4" s="1"/>
  <c r="AA138" i="4"/>
  <c r="AC138" i="4" s="1"/>
  <c r="AD138" i="4" s="1"/>
  <c r="AJ104" i="4"/>
  <c r="AA104" i="4"/>
  <c r="AC104" i="4" s="1"/>
  <c r="AD104" i="4" s="1"/>
  <c r="AK114" i="4"/>
  <c r="AK16" i="4"/>
  <c r="AJ41" i="4"/>
  <c r="AA41" i="4"/>
  <c r="AC41" i="4" s="1"/>
  <c r="AD41" i="4" s="1"/>
  <c r="AR41" i="4" s="1"/>
  <c r="AT41" i="4" s="1"/>
  <c r="AA55" i="4"/>
  <c r="AC55" i="4" s="1"/>
  <c r="AD55" i="4" s="1"/>
  <c r="AK113" i="4"/>
  <c r="AA131" i="4"/>
  <c r="AC131" i="4" s="1"/>
  <c r="AD131" i="4" s="1"/>
  <c r="AR98" i="4"/>
  <c r="AT98" i="4" s="1"/>
  <c r="AR36" i="4"/>
  <c r="AT36" i="4" s="1"/>
  <c r="AO48" i="4"/>
  <c r="AG48" i="4"/>
  <c r="AI48" i="4" s="1"/>
  <c r="AG131" i="4"/>
  <c r="AI131" i="4" s="1"/>
  <c r="AO131" i="4"/>
  <c r="AG90" i="4"/>
  <c r="AI90" i="4" s="1"/>
  <c r="AO90" i="4"/>
  <c r="AJ31" i="4"/>
  <c r="AK31" i="4"/>
  <c r="AG117" i="4"/>
  <c r="AI117" i="4" s="1"/>
  <c r="AO117" i="4"/>
  <c r="AT7" i="5"/>
  <c r="AU7" i="5"/>
  <c r="AT83" i="5"/>
  <c r="AU83" i="5"/>
  <c r="AT146" i="5"/>
  <c r="AU146" i="5"/>
  <c r="AO57" i="4"/>
  <c r="AG57" i="4"/>
  <c r="AI57" i="4" s="1"/>
  <c r="AU500" i="5"/>
  <c r="AT500" i="5"/>
  <c r="AU294" i="5"/>
  <c r="AT294" i="5"/>
  <c r="AF73" i="4"/>
  <c r="AK73" i="4"/>
  <c r="AJ28" i="4"/>
  <c r="AK28" i="4"/>
  <c r="AJ36" i="4"/>
  <c r="AK36" i="4"/>
  <c r="AT109" i="5"/>
  <c r="AU109" i="5"/>
  <c r="AT337" i="5"/>
  <c r="AU337" i="5"/>
  <c r="AG104" i="4"/>
  <c r="AI104" i="4" s="1"/>
  <c r="AO104" i="4"/>
  <c r="AT434" i="5"/>
  <c r="AU434" i="5"/>
  <c r="AU424" i="5"/>
  <c r="AT424" i="5"/>
  <c r="AU171" i="5"/>
  <c r="AT171" i="5"/>
  <c r="AJ154" i="4"/>
  <c r="AK154" i="4"/>
  <c r="AT208" i="5"/>
  <c r="AU208" i="5"/>
  <c r="AU118" i="5"/>
  <c r="AT118" i="5"/>
  <c r="AU522" i="5"/>
  <c r="AT522" i="5"/>
  <c r="AG138" i="4"/>
  <c r="AI138" i="4" s="1"/>
  <c r="AO138" i="4"/>
  <c r="AT317" i="5"/>
  <c r="AU317" i="5"/>
  <c r="AJ115" i="4"/>
  <c r="AK115" i="4"/>
  <c r="AT461" i="5"/>
  <c r="AU461" i="5"/>
  <c r="AU159" i="5"/>
  <c r="AT159" i="5"/>
  <c r="AU303" i="5"/>
  <c r="AT303" i="5"/>
  <c r="AT520" i="5"/>
  <c r="AU520" i="5"/>
  <c r="AT347" i="5"/>
  <c r="AU347" i="5"/>
  <c r="AO33" i="4"/>
  <c r="AG33" i="4"/>
  <c r="AI33" i="4" s="1"/>
  <c r="AT101" i="5"/>
  <c r="AU101" i="5"/>
  <c r="AU495" i="5"/>
  <c r="AT495" i="5"/>
  <c r="AJ119" i="4"/>
  <c r="AK119" i="4"/>
  <c r="AT544" i="5"/>
  <c r="AU544" i="5"/>
  <c r="AT33" i="5"/>
  <c r="AU33" i="5"/>
  <c r="AU413" i="5"/>
  <c r="AT413" i="5"/>
  <c r="AU279" i="5"/>
  <c r="AT279" i="5"/>
  <c r="AJ32" i="4"/>
  <c r="AK32" i="4"/>
  <c r="AA16" i="4"/>
  <c r="AC16" i="4" s="1"/>
  <c r="AD16" i="4" s="1"/>
  <c r="AG51" i="4"/>
  <c r="AI51" i="4" s="1"/>
  <c r="AO51" i="4"/>
  <c r="AU135" i="5"/>
  <c r="AT135" i="5"/>
  <c r="AU251" i="5"/>
  <c r="AT251" i="5"/>
  <c r="AT180" i="5"/>
  <c r="AU180" i="5"/>
  <c r="AE13" i="5"/>
  <c r="AD13" i="5"/>
  <c r="AS13" i="5"/>
  <c r="AJ131" i="4"/>
  <c r="AK131" i="4"/>
  <c r="AO147" i="4"/>
  <c r="AG147" i="4"/>
  <c r="AI147" i="4" s="1"/>
  <c r="AO60" i="4"/>
  <c r="AG60" i="4"/>
  <c r="AI60" i="4" s="1"/>
  <c r="AU173" i="5"/>
  <c r="AT173" i="5"/>
  <c r="AJ78" i="4"/>
  <c r="AK78" i="4"/>
  <c r="AU183" i="5"/>
  <c r="AT183" i="5"/>
  <c r="AX182" i="5" s="1"/>
  <c r="AY182" i="5" s="1"/>
  <c r="AT392" i="5"/>
  <c r="AU392" i="5"/>
  <c r="AT464" i="5"/>
  <c r="AU464" i="5"/>
  <c r="AK60" i="4"/>
  <c r="AJ139" i="4"/>
  <c r="AK139" i="4"/>
  <c r="AG121" i="4"/>
  <c r="AI121" i="4" s="1"/>
  <c r="AO121" i="4"/>
  <c r="AU100" i="5"/>
  <c r="AT100" i="5"/>
  <c r="AT160" i="5"/>
  <c r="AU160" i="5"/>
  <c r="AU167" i="5"/>
  <c r="AT167" i="5"/>
  <c r="AT286" i="5"/>
  <c r="AU286" i="5"/>
  <c r="AU362" i="5"/>
  <c r="AT362" i="5"/>
  <c r="AO107" i="4"/>
  <c r="AG107" i="4"/>
  <c r="AI107" i="4" s="1"/>
  <c r="AJ121" i="4"/>
  <c r="AK121" i="4"/>
  <c r="AJ53" i="4"/>
  <c r="AK53" i="4"/>
  <c r="AT479" i="5"/>
  <c r="AU479" i="5"/>
  <c r="AG153" i="4"/>
  <c r="AI153" i="4" s="1"/>
  <c r="AO153" i="4"/>
  <c r="AR112" i="4"/>
  <c r="AT112" i="4" s="1"/>
  <c r="AT454" i="5"/>
  <c r="AU454" i="5"/>
  <c r="AT34" i="5"/>
  <c r="AU34" i="5"/>
  <c r="AO80" i="4"/>
  <c r="AG80" i="4"/>
  <c r="AI80" i="4" s="1"/>
  <c r="AT187" i="5"/>
  <c r="AU187" i="5"/>
  <c r="AT223" i="5"/>
  <c r="AU223" i="5"/>
  <c r="AU449" i="5"/>
  <c r="AT449" i="5"/>
  <c r="AT181" i="5"/>
  <c r="AU181" i="5"/>
  <c r="AU481" i="5"/>
  <c r="AT481" i="5"/>
  <c r="AU136" i="5"/>
  <c r="AT136" i="5"/>
  <c r="AG13" i="4"/>
  <c r="AI13" i="4" s="1"/>
  <c r="AO13" i="4"/>
  <c r="AU258" i="5"/>
  <c r="AT258" i="5"/>
  <c r="AX257" i="5" s="1"/>
  <c r="AY257" i="5" s="1"/>
  <c r="AT397" i="5"/>
  <c r="AU397" i="5"/>
  <c r="AU252" i="5"/>
  <c r="AT252" i="5"/>
  <c r="AJ147" i="4"/>
  <c r="AK147" i="4"/>
  <c r="AU254" i="5"/>
  <c r="AT254" i="5"/>
  <c r="AU365" i="5"/>
  <c r="AT365" i="5"/>
  <c r="AU85" i="5"/>
  <c r="AT85" i="5"/>
  <c r="AU165" i="5"/>
  <c r="AT165" i="5"/>
  <c r="AG113" i="4"/>
  <c r="AI113" i="4" s="1"/>
  <c r="AO113" i="4"/>
  <c r="AT448" i="5"/>
  <c r="AU448" i="5"/>
  <c r="AT161" i="5"/>
  <c r="AU161" i="5"/>
  <c r="AJ110" i="4"/>
  <c r="AK110" i="4"/>
  <c r="AT331" i="5"/>
  <c r="AU331" i="5"/>
  <c r="AU395" i="5"/>
  <c r="AT395" i="5"/>
  <c r="AT282" i="5"/>
  <c r="AU282" i="5"/>
  <c r="AT192" i="5"/>
  <c r="AU192" i="5"/>
  <c r="AU456" i="5"/>
  <c r="AT456" i="5"/>
  <c r="AU329" i="5"/>
  <c r="AT329" i="5"/>
  <c r="AU515" i="5"/>
  <c r="AT515" i="5"/>
  <c r="AT43" i="5"/>
  <c r="AU43" i="5"/>
  <c r="AU538" i="5"/>
  <c r="AT538" i="5"/>
  <c r="AT521" i="5"/>
  <c r="AU521" i="5"/>
  <c r="AU408" i="5"/>
  <c r="AT408" i="5"/>
  <c r="AU274" i="5"/>
  <c r="AT274" i="5"/>
  <c r="AG129" i="4"/>
  <c r="AI129" i="4" s="1"/>
  <c r="AO129" i="4"/>
  <c r="AO88" i="4"/>
  <c r="AG88" i="4"/>
  <c r="AI88" i="4" s="1"/>
  <c r="AU142" i="5"/>
  <c r="AT142" i="5"/>
  <c r="AU333" i="5"/>
  <c r="AT333" i="5"/>
  <c r="AT221" i="5"/>
  <c r="AU221" i="5"/>
  <c r="AT170" i="5"/>
  <c r="AU170" i="5"/>
  <c r="AU460" i="5"/>
  <c r="AT460" i="5"/>
  <c r="AU253" i="5"/>
  <c r="AT253" i="5"/>
  <c r="AJ88" i="4"/>
  <c r="AK88" i="4"/>
  <c r="AT298" i="5"/>
  <c r="AU298" i="5"/>
  <c r="AG99" i="4"/>
  <c r="AI99" i="4" s="1"/>
  <c r="AO99" i="4"/>
  <c r="AO124" i="4"/>
  <c r="AG124" i="4"/>
  <c r="AI124" i="4" s="1"/>
  <c r="AT554" i="5"/>
  <c r="AU554" i="5"/>
  <c r="AG145" i="4"/>
  <c r="AI145" i="4" s="1"/>
  <c r="AO145" i="4"/>
  <c r="AJ56" i="4"/>
  <c r="AK56" i="4"/>
  <c r="AT491" i="5"/>
  <c r="AU491" i="5"/>
  <c r="AJ149" i="4"/>
  <c r="AK149" i="4"/>
  <c r="AU348" i="5"/>
  <c r="AT348" i="5"/>
  <c r="AT485" i="5"/>
  <c r="AU485" i="5"/>
  <c r="AU87" i="5"/>
  <c r="AT87" i="5"/>
  <c r="AU432" i="5"/>
  <c r="AT432" i="5"/>
  <c r="AJ146" i="4"/>
  <c r="AK146" i="4"/>
  <c r="AG56" i="4"/>
  <c r="AI56" i="4" s="1"/>
  <c r="AO56" i="4"/>
  <c r="AU467" i="5"/>
  <c r="AT467" i="5"/>
  <c r="AT269" i="5"/>
  <c r="AU269" i="5"/>
  <c r="AR53" i="4"/>
  <c r="AT53" i="4" s="1"/>
  <c r="AJ156" i="4"/>
  <c r="AK156" i="4"/>
  <c r="AU121" i="5"/>
  <c r="AT121" i="5"/>
  <c r="AU288" i="5"/>
  <c r="AT288" i="5"/>
  <c r="AU203" i="5"/>
  <c r="AT203" i="5"/>
  <c r="AU488" i="5"/>
  <c r="AT488" i="5"/>
  <c r="AU429" i="5"/>
  <c r="AT429" i="5"/>
  <c r="AU260" i="5"/>
  <c r="AT260" i="5"/>
  <c r="AT290" i="5"/>
  <c r="AU290" i="5"/>
  <c r="AT37" i="5"/>
  <c r="AU37" i="5"/>
  <c r="AU40" i="5"/>
  <c r="AT40" i="5"/>
  <c r="AU144" i="5"/>
  <c r="AT144" i="5"/>
  <c r="AA11" i="4"/>
  <c r="AC11" i="4" s="1"/>
  <c r="AD11" i="4" s="1"/>
  <c r="AT557" i="5"/>
  <c r="AU557" i="5"/>
  <c r="AU482" i="5"/>
  <c r="AT482" i="5"/>
  <c r="AT176" i="5"/>
  <c r="AX175" i="5" s="1"/>
  <c r="AY175" i="5" s="1"/>
  <c r="AU176" i="5"/>
  <c r="AU311" i="5"/>
  <c r="AT311" i="5"/>
  <c r="AT149" i="5"/>
  <c r="AU149" i="5"/>
  <c r="AJ33" i="4"/>
  <c r="AK33" i="4"/>
  <c r="AU471" i="5"/>
  <c r="AT471" i="5"/>
  <c r="AG146" i="4"/>
  <c r="AI146" i="4" s="1"/>
  <c r="AO146" i="4"/>
  <c r="AU341" i="5"/>
  <c r="AT341" i="5"/>
  <c r="AO42" i="4"/>
  <c r="AG42" i="4"/>
  <c r="AI42" i="4" s="1"/>
  <c r="AU338" i="5"/>
  <c r="AT338" i="5"/>
  <c r="AU498" i="5"/>
  <c r="AT498" i="5"/>
  <c r="AU417" i="5"/>
  <c r="AT417" i="5"/>
  <c r="AG28" i="4"/>
  <c r="AI28" i="4" s="1"/>
  <c r="AO28" i="4"/>
  <c r="AT275" i="5"/>
  <c r="AU275" i="5"/>
  <c r="AU422" i="5"/>
  <c r="AT422" i="5"/>
  <c r="AT343" i="5"/>
  <c r="AU343" i="5"/>
  <c r="AU280" i="5"/>
  <c r="AT280" i="5"/>
  <c r="AU319" i="5"/>
  <c r="AT319" i="5"/>
  <c r="AT74" i="5"/>
  <c r="AU74" i="5"/>
  <c r="AT465" i="5"/>
  <c r="AU465" i="5"/>
  <c r="AG29" i="4"/>
  <c r="AI29" i="4" s="1"/>
  <c r="AO29" i="4"/>
  <c r="AU427" i="5"/>
  <c r="AT427" i="5"/>
  <c r="AU268" i="5"/>
  <c r="AT268" i="5"/>
  <c r="AT304" i="5"/>
  <c r="AU304" i="5"/>
  <c r="AU386" i="5"/>
  <c r="AT386" i="5"/>
  <c r="AG154" i="4"/>
  <c r="AI154" i="4" s="1"/>
  <c r="AO154" i="4"/>
  <c r="AT70" i="5"/>
  <c r="AU70" i="5"/>
  <c r="AT339" i="5"/>
  <c r="AU339" i="5"/>
  <c r="AU342" i="5"/>
  <c r="AT342" i="5"/>
  <c r="AU256" i="5"/>
  <c r="AT256" i="5"/>
  <c r="AG15" i="4"/>
  <c r="AI15" i="4" s="1"/>
  <c r="AO15" i="4"/>
  <c r="AK11" i="4"/>
  <c r="AT296" i="5"/>
  <c r="AU296" i="5"/>
  <c r="AU489" i="5"/>
  <c r="AT489" i="5"/>
  <c r="AU232" i="5"/>
  <c r="AT232" i="5"/>
  <c r="AU262" i="5"/>
  <c r="AT262" i="5"/>
  <c r="AU499" i="5"/>
  <c r="AT499" i="5"/>
  <c r="AJ90" i="4"/>
  <c r="AK90" i="4"/>
  <c r="AJ112" i="4"/>
  <c r="AK112" i="4"/>
  <c r="AU216" i="5"/>
  <c r="AT216" i="5"/>
  <c r="AU130" i="5"/>
  <c r="AT130" i="5"/>
  <c r="AO115" i="4"/>
  <c r="AG115" i="4"/>
  <c r="AI115" i="4" s="1"/>
  <c r="AT69" i="5"/>
  <c r="AU69" i="5"/>
  <c r="AU189" i="5"/>
  <c r="AT189" i="5"/>
  <c r="AJ43" i="4"/>
  <c r="AK43" i="4"/>
  <c r="AG92" i="4"/>
  <c r="AI92" i="4" s="1"/>
  <c r="AO92" i="4"/>
  <c r="AG119" i="4"/>
  <c r="AI119" i="4" s="1"/>
  <c r="AO119" i="4"/>
  <c r="AG65" i="4"/>
  <c r="AI65" i="4" s="1"/>
  <c r="AO65" i="4"/>
  <c r="AG110" i="4"/>
  <c r="AI110" i="4" s="1"/>
  <c r="AO110" i="4"/>
  <c r="AJ50" i="4"/>
  <c r="AK50" i="4"/>
  <c r="AJ87" i="4"/>
  <c r="AK87" i="4"/>
  <c r="AU433" i="5"/>
  <c r="AT433" i="5"/>
  <c r="AT356" i="5"/>
  <c r="AU356" i="5"/>
  <c r="AU123" i="5"/>
  <c r="AT123" i="5"/>
  <c r="AT506" i="5"/>
  <c r="AU506" i="5"/>
  <c r="AO55" i="4"/>
  <c r="AG55" i="4"/>
  <c r="AI55" i="4" s="1"/>
  <c r="AU373" i="5"/>
  <c r="AT373" i="5"/>
  <c r="AJ42" i="4"/>
  <c r="AK42" i="4"/>
  <c r="AU215" i="5"/>
  <c r="AT215" i="5"/>
  <c r="AT484" i="5"/>
  <c r="AU484" i="5"/>
  <c r="AT332" i="5"/>
  <c r="AU332" i="5"/>
  <c r="AU151" i="5"/>
  <c r="AT151" i="5"/>
  <c r="AT436" i="5"/>
  <c r="AU436" i="5"/>
  <c r="AU399" i="5"/>
  <c r="AT399" i="5"/>
  <c r="AT553" i="5"/>
  <c r="AU553" i="5"/>
  <c r="AT63" i="5"/>
  <c r="AU63" i="5"/>
  <c r="AT450" i="5"/>
  <c r="AU450" i="5"/>
  <c r="AU524" i="5"/>
  <c r="AT524" i="5"/>
  <c r="AR78" i="4"/>
  <c r="AT78" i="4" s="1"/>
  <c r="AG11" i="4"/>
  <c r="AI11" i="4" s="1"/>
  <c r="AO11" i="4"/>
  <c r="AT536" i="5"/>
  <c r="AU536" i="5"/>
  <c r="AU91" i="5"/>
  <c r="AT91" i="5"/>
  <c r="AU380" i="5"/>
  <c r="AT380" i="5"/>
  <c r="AU324" i="5"/>
  <c r="AT324" i="5"/>
  <c r="AT237" i="5"/>
  <c r="AU237" i="5"/>
  <c r="AU80" i="5"/>
  <c r="AT80" i="5"/>
  <c r="AQ13" i="5"/>
  <c r="AR13" i="5"/>
  <c r="AU59" i="5"/>
  <c r="AT59" i="5"/>
  <c r="AJ107" i="4"/>
  <c r="AK107" i="4"/>
  <c r="AT261" i="5"/>
  <c r="AU261" i="5"/>
  <c r="AU125" i="5"/>
  <c r="AT125" i="5"/>
  <c r="AU305" i="5"/>
  <c r="AT305" i="5"/>
  <c r="AG122" i="4"/>
  <c r="AI122" i="4" s="1"/>
  <c r="AO122" i="4"/>
  <c r="AT117" i="5"/>
  <c r="AU117" i="5"/>
  <c r="AT543" i="5"/>
  <c r="AU543" i="5"/>
  <c r="AU38" i="5"/>
  <c r="AT38" i="5"/>
  <c r="AG50" i="4"/>
  <c r="AI50" i="4" s="1"/>
  <c r="AO50" i="4"/>
  <c r="AU241" i="5"/>
  <c r="AT241" i="5"/>
  <c r="AU312" i="5"/>
  <c r="AT312" i="5"/>
  <c r="AT284" i="5"/>
  <c r="AU284" i="5"/>
  <c r="AU381" i="5"/>
  <c r="AT381" i="5"/>
  <c r="AU212" i="5"/>
  <c r="AT212" i="5"/>
  <c r="AT445" i="5"/>
  <c r="AU445" i="5"/>
  <c r="AT112" i="5"/>
  <c r="AU112" i="5"/>
  <c r="AU370" i="5"/>
  <c r="AT370" i="5"/>
  <c r="AU133" i="5"/>
  <c r="AT133" i="5"/>
  <c r="AG156" i="4"/>
  <c r="AI156" i="4" s="1"/>
  <c r="AO156" i="4"/>
  <c r="AT266" i="5"/>
  <c r="AU266" i="5"/>
  <c r="AO16" i="4"/>
  <c r="AG16" i="4"/>
  <c r="AI16" i="4" s="1"/>
  <c r="AK80" i="4" l="1"/>
  <c r="AK111" i="4"/>
  <c r="AK81" i="4"/>
  <c r="AK55" i="4"/>
  <c r="AO81" i="4"/>
  <c r="AR81" i="4" s="1"/>
  <c r="AT81" i="4" s="1"/>
  <c r="AR96" i="4"/>
  <c r="AT96" i="4" s="1"/>
  <c r="AK102" i="4"/>
  <c r="AA47" i="4"/>
  <c r="AC47" i="4" s="1"/>
  <c r="AD47" i="4" s="1"/>
  <c r="AK47" i="4"/>
  <c r="AR49" i="4"/>
  <c r="AT49" i="4" s="1"/>
  <c r="AF54" i="4"/>
  <c r="AO54" i="4" s="1"/>
  <c r="AA54" i="4"/>
  <c r="AC54" i="4" s="1"/>
  <c r="AD54" i="4" s="1"/>
  <c r="AR25" i="4"/>
  <c r="AT25" i="4" s="1"/>
  <c r="AR71" i="4"/>
  <c r="AT71" i="4" s="1"/>
  <c r="AK85" i="4"/>
  <c r="AK49" i="4"/>
  <c r="AJ49" i="4"/>
  <c r="AF35" i="4"/>
  <c r="AG35" i="4" s="1"/>
  <c r="AI35" i="4" s="1"/>
  <c r="AK48" i="4"/>
  <c r="AR31" i="4"/>
  <c r="AT31" i="4" s="1"/>
  <c r="AO85" i="4"/>
  <c r="AR85" i="4" s="1"/>
  <c r="AT85" i="4" s="1"/>
  <c r="AK35" i="4"/>
  <c r="AA9" i="4"/>
  <c r="AC9" i="4" s="1"/>
  <c r="AD9" i="4" s="1"/>
  <c r="AR9" i="4" s="1"/>
  <c r="AT9" i="4" s="1"/>
  <c r="AK75" i="4"/>
  <c r="AA127" i="4"/>
  <c r="AC127" i="4" s="1"/>
  <c r="AD127" i="4" s="1"/>
  <c r="AR106" i="4"/>
  <c r="AT106" i="4" s="1"/>
  <c r="AK29" i="4"/>
  <c r="AK106" i="4"/>
  <c r="AJ106" i="4"/>
  <c r="AR102" i="4"/>
  <c r="AT102" i="4" s="1"/>
  <c r="AU512" i="5"/>
  <c r="AA100" i="4"/>
  <c r="AC100" i="4" s="1"/>
  <c r="AD100" i="4" s="1"/>
  <c r="AJ29" i="4"/>
  <c r="AU537" i="5"/>
  <c r="AR74" i="4"/>
  <c r="AT74" i="4" s="1"/>
  <c r="AK100" i="4"/>
  <c r="AK127" i="4"/>
  <c r="AK7" i="4"/>
  <c r="AA18" i="4"/>
  <c r="AC18" i="4" s="1"/>
  <c r="AD18" i="4" s="1"/>
  <c r="AR18" i="4" s="1"/>
  <c r="AT18" i="4" s="1"/>
  <c r="AA7" i="4"/>
  <c r="AC7" i="4" s="1"/>
  <c r="AD7" i="4" s="1"/>
  <c r="AK18" i="4"/>
  <c r="AK95" i="4"/>
  <c r="AR151" i="4"/>
  <c r="AT151" i="4" s="1"/>
  <c r="AO118" i="4"/>
  <c r="AR118" i="4" s="1"/>
  <c r="AT118" i="4" s="1"/>
  <c r="AA76" i="4"/>
  <c r="AC76" i="4" s="1"/>
  <c r="AD76" i="4" s="1"/>
  <c r="AK76" i="4"/>
  <c r="AA30" i="4"/>
  <c r="AC30" i="4" s="1"/>
  <c r="AD30" i="4" s="1"/>
  <c r="AR30" i="4" s="1"/>
  <c r="AT30" i="4" s="1"/>
  <c r="AK118" i="4"/>
  <c r="AK91" i="4"/>
  <c r="AF91" i="4"/>
  <c r="AO91" i="4" s="1"/>
  <c r="AJ118" i="4"/>
  <c r="AK30" i="4"/>
  <c r="AU525" i="5"/>
  <c r="AT371" i="5"/>
  <c r="AX371" i="5" s="1"/>
  <c r="AY371" i="5" s="1"/>
  <c r="AU206" i="5"/>
  <c r="AT264" i="5"/>
  <c r="AX264" i="5" s="1"/>
  <c r="AY264" i="5" s="1"/>
  <c r="AU459" i="5"/>
  <c r="AU379" i="5"/>
  <c r="AT234" i="5"/>
  <c r="AU446" i="5"/>
  <c r="AX115" i="5"/>
  <c r="AY115" i="5" s="1"/>
  <c r="AU523" i="5"/>
  <c r="AX45" i="5"/>
  <c r="AY45" i="5" s="1"/>
  <c r="AU376" i="5"/>
  <c r="AT546" i="5"/>
  <c r="AT508" i="5"/>
  <c r="AX507" i="5" s="1"/>
  <c r="AY507" i="5" s="1"/>
  <c r="AU49" i="5"/>
  <c r="AT426" i="5"/>
  <c r="AX425" i="5" s="1"/>
  <c r="AY425" i="5" s="1"/>
  <c r="AK12" i="4"/>
  <c r="AU200" i="5"/>
  <c r="AU26" i="5"/>
  <c r="AA145" i="4"/>
  <c r="AC145" i="4" s="1"/>
  <c r="AD145" i="4" s="1"/>
  <c r="AR145" i="4" s="1"/>
  <c r="AT145" i="4" s="1"/>
  <c r="AU345" i="5"/>
  <c r="AT483" i="5"/>
  <c r="AX483" i="5" s="1"/>
  <c r="AY483" i="5" s="1"/>
  <c r="AK145" i="4"/>
  <c r="AX23" i="5"/>
  <c r="AY23" i="5" s="1"/>
  <c r="AU23" i="5"/>
  <c r="AK66" i="4"/>
  <c r="AF37" i="4"/>
  <c r="AG37" i="4" s="1"/>
  <c r="AI37" i="4" s="1"/>
  <c r="AU289" i="5"/>
  <c r="AX97" i="5"/>
  <c r="AY97" i="5" s="1"/>
  <c r="AK37" i="4"/>
  <c r="AT530" i="5"/>
  <c r="AX184" i="5"/>
  <c r="AY184" i="5" s="1"/>
  <c r="AU534" i="5"/>
  <c r="AT105" i="5"/>
  <c r="AX105" i="5" s="1"/>
  <c r="AY105" i="5" s="1"/>
  <c r="AT463" i="5"/>
  <c r="AX463" i="5" s="1"/>
  <c r="AY463" i="5" s="1"/>
  <c r="AU265" i="5"/>
  <c r="AU97" i="5"/>
  <c r="AT243" i="5"/>
  <c r="AU226" i="5"/>
  <c r="AT213" i="5"/>
  <c r="AX212" i="5" s="1"/>
  <c r="AY212" i="5" s="1"/>
  <c r="AU532" i="5"/>
  <c r="AT540" i="5"/>
  <c r="AX539" i="5" s="1"/>
  <c r="AY539" i="5" s="1"/>
  <c r="AT470" i="5"/>
  <c r="AX470" i="5" s="1"/>
  <c r="AY470" i="5" s="1"/>
  <c r="AT469" i="5"/>
  <c r="AU509" i="5"/>
  <c r="AU184" i="5"/>
  <c r="AA46" i="4"/>
  <c r="AC46" i="4" s="1"/>
  <c r="AD46" i="4" s="1"/>
  <c r="AR46" i="4" s="1"/>
  <c r="AT46" i="4" s="1"/>
  <c r="AJ46" i="4"/>
  <c r="AU359" i="5"/>
  <c r="AA20" i="4"/>
  <c r="AC20" i="4" s="1"/>
  <c r="AD20" i="4" s="1"/>
  <c r="AG66" i="4"/>
  <c r="AI66" i="4" s="1"/>
  <c r="AR66" i="4" s="1"/>
  <c r="AT66" i="4" s="1"/>
  <c r="AK20" i="4"/>
  <c r="AU327" i="5"/>
  <c r="AU297" i="5"/>
  <c r="AT466" i="5"/>
  <c r="AX466" i="5" s="1"/>
  <c r="AY466" i="5" s="1"/>
  <c r="AU188" i="5"/>
  <c r="AU166" i="5"/>
  <c r="AU477" i="5"/>
  <c r="AT518" i="5"/>
  <c r="AX517" i="5" s="1"/>
  <c r="AY517" i="5" s="1"/>
  <c r="AU514" i="5"/>
  <c r="AU22" i="5"/>
  <c r="AU511" i="5"/>
  <c r="AR43" i="4"/>
  <c r="AT43" i="4" s="1"/>
  <c r="AU62" i="5"/>
  <c r="AX49" i="5"/>
  <c r="AY49" i="5" s="1"/>
  <c r="AU349" i="5"/>
  <c r="AA14" i="4"/>
  <c r="AC14" i="4" s="1"/>
  <c r="AD14" i="4" s="1"/>
  <c r="AR149" i="4"/>
  <c r="AT149" i="4" s="1"/>
  <c r="AK14" i="4"/>
  <c r="AU148" i="5"/>
  <c r="AU137" i="5"/>
  <c r="AT201" i="5"/>
  <c r="AX201" i="5" s="1"/>
  <c r="AY201" i="5" s="1"/>
  <c r="AA61" i="4"/>
  <c r="AC61" i="4" s="1"/>
  <c r="AD61" i="4" s="1"/>
  <c r="AR61" i="4" s="1"/>
  <c r="AT61" i="4" s="1"/>
  <c r="AT42" i="5"/>
  <c r="AX42" i="5" s="1"/>
  <c r="AY42" i="5" s="1"/>
  <c r="AU351" i="5"/>
  <c r="AU21" i="5"/>
  <c r="AX21" i="5"/>
  <c r="AY21" i="5" s="1"/>
  <c r="AK61" i="4"/>
  <c r="AT214" i="5"/>
  <c r="AX214" i="5" s="1"/>
  <c r="AY214" i="5" s="1"/>
  <c r="AT267" i="5"/>
  <c r="AX267" i="5" s="1"/>
  <c r="AY267" i="5" s="1"/>
  <c r="AT186" i="5"/>
  <c r="AX186" i="5" s="1"/>
  <c r="AY186" i="5" s="1"/>
  <c r="AT301" i="5"/>
  <c r="AX300" i="5" s="1"/>
  <c r="AU300" i="5"/>
  <c r="AT313" i="5"/>
  <c r="AX313" i="5" s="1"/>
  <c r="AY313" i="5" s="1"/>
  <c r="AU382" i="5"/>
  <c r="AX148" i="5"/>
  <c r="AY148" i="5" s="1"/>
  <c r="AT451" i="5"/>
  <c r="AX450" i="5" s="1"/>
  <c r="AY450" i="5" s="1"/>
  <c r="AT486" i="5"/>
  <c r="AX485" i="5" s="1"/>
  <c r="AY485" i="5" s="1"/>
  <c r="AA57" i="4"/>
  <c r="AC57" i="4" s="1"/>
  <c r="AD57" i="4" s="1"/>
  <c r="AR57" i="4" s="1"/>
  <c r="AT57" i="4" s="1"/>
  <c r="AF22" i="4"/>
  <c r="AO22" i="4" s="1"/>
  <c r="AA142" i="4"/>
  <c r="AC142" i="4" s="1"/>
  <c r="AD142" i="4" s="1"/>
  <c r="AX147" i="5"/>
  <c r="AY147" i="5" s="1"/>
  <c r="AT248" i="5"/>
  <c r="AX247" i="5" s="1"/>
  <c r="AY247" i="5" s="1"/>
  <c r="AU205" i="5"/>
  <c r="AT478" i="5"/>
  <c r="AX477" i="5" s="1"/>
  <c r="AY477" i="5" s="1"/>
  <c r="AK15" i="4"/>
  <c r="AU31" i="5"/>
  <c r="AU283" i="5"/>
  <c r="AO142" i="4"/>
  <c r="AT390" i="5"/>
  <c r="AX389" i="5" s="1"/>
  <c r="AY389" i="5" s="1"/>
  <c r="AK57" i="4"/>
  <c r="AA15" i="4"/>
  <c r="AC15" i="4" s="1"/>
  <c r="AD15" i="4" s="1"/>
  <c r="AR15" i="4" s="1"/>
  <c r="AT15" i="4" s="1"/>
  <c r="AT316" i="5"/>
  <c r="AX316" i="5" s="1"/>
  <c r="AY316" i="5" s="1"/>
  <c r="AK142" i="4"/>
  <c r="AT444" i="5"/>
  <c r="AX444" i="5" s="1"/>
  <c r="AY444" i="5" s="1"/>
  <c r="AT58" i="5"/>
  <c r="AX58" i="5" s="1"/>
  <c r="AY58" i="5" s="1"/>
  <c r="AT374" i="5"/>
  <c r="AX373" i="5" s="1"/>
  <c r="AY373" i="5" s="1"/>
  <c r="AT455" i="5"/>
  <c r="AX454" i="5" s="1"/>
  <c r="AY454" i="5" s="1"/>
  <c r="AT360" i="5"/>
  <c r="AT308" i="5"/>
  <c r="AX308" i="5" s="1"/>
  <c r="AY308" i="5" s="1"/>
  <c r="AT361" i="5"/>
  <c r="AX361" i="5" s="1"/>
  <c r="AY361" i="5" s="1"/>
  <c r="AX278" i="5"/>
  <c r="AY278" i="5" s="1"/>
  <c r="AX62" i="5"/>
  <c r="AY62" i="5" s="1"/>
  <c r="AU400" i="5"/>
  <c r="AU32" i="5"/>
  <c r="AT48" i="5"/>
  <c r="AX48" i="5" s="1"/>
  <c r="AY48" i="5" s="1"/>
  <c r="AU363" i="5"/>
  <c r="AU138" i="5"/>
  <c r="AT306" i="5"/>
  <c r="AX306" i="5" s="1"/>
  <c r="AY306" i="5" s="1"/>
  <c r="AU245" i="5"/>
  <c r="AT145" i="5"/>
  <c r="AX144" i="5" s="1"/>
  <c r="AY144" i="5" s="1"/>
  <c r="AU421" i="5"/>
  <c r="AX20" i="5"/>
  <c r="AY20" i="5" s="1"/>
  <c r="AT113" i="5"/>
  <c r="AX113" i="5" s="1"/>
  <c r="AY113" i="5" s="1"/>
  <c r="AU552" i="5"/>
  <c r="AU55" i="5"/>
  <c r="AT222" i="5"/>
  <c r="AX222" i="5" s="1"/>
  <c r="AY222" i="5" s="1"/>
  <c r="AT366" i="5"/>
  <c r="AX365" i="5" s="1"/>
  <c r="AY365" i="5" s="1"/>
  <c r="AT36" i="5"/>
  <c r="AX35" i="5" s="1"/>
  <c r="AY35" i="5" s="1"/>
  <c r="AX116" i="5"/>
  <c r="AY116" i="5" s="1"/>
  <c r="AU309" i="5"/>
  <c r="AU336" i="5"/>
  <c r="AU416" i="5"/>
  <c r="AT140" i="5"/>
  <c r="AX139" i="5" s="1"/>
  <c r="AY139" i="5" s="1"/>
  <c r="AT295" i="5"/>
  <c r="AX294" i="5" s="1"/>
  <c r="AY294" i="5" s="1"/>
  <c r="AT302" i="5"/>
  <c r="AX302" i="5" s="1"/>
  <c r="AY302" i="5" s="1"/>
  <c r="AT90" i="5"/>
  <c r="AX90" i="5" s="1"/>
  <c r="AY90" i="5" s="1"/>
  <c r="AU353" i="5"/>
  <c r="AT178" i="5"/>
  <c r="AX177" i="5" s="1"/>
  <c r="AY177" i="5" s="1"/>
  <c r="AT378" i="5"/>
  <c r="AX378" i="5" s="1"/>
  <c r="AY378" i="5" s="1"/>
  <c r="AT475" i="5"/>
  <c r="AX475" i="5" s="1"/>
  <c r="AY475" i="5" s="1"/>
  <c r="AT462" i="5"/>
  <c r="AU517" i="5"/>
  <c r="AT344" i="5"/>
  <c r="AX343" i="5" s="1"/>
  <c r="AY343" i="5" s="1"/>
  <c r="AT94" i="5"/>
  <c r="AX94" i="5" s="1"/>
  <c r="AY94" i="5" s="1"/>
  <c r="AA135" i="4"/>
  <c r="AC135" i="4" s="1"/>
  <c r="AD135" i="4" s="1"/>
  <c r="AA125" i="4"/>
  <c r="AC125" i="4" s="1"/>
  <c r="AD125" i="4" s="1"/>
  <c r="AT158" i="5"/>
  <c r="AX158" i="5" s="1"/>
  <c r="AY158" i="5" s="1"/>
  <c r="AK125" i="4"/>
  <c r="AT259" i="5"/>
  <c r="AX258" i="5" s="1"/>
  <c r="AY258" i="5" s="1"/>
  <c r="AU438" i="5"/>
  <c r="AT119" i="5"/>
  <c r="AX118" i="5" s="1"/>
  <c r="AY118" i="5" s="1"/>
  <c r="AU394" i="5"/>
  <c r="AT155" i="5"/>
  <c r="AU504" i="5"/>
  <c r="AU193" i="5"/>
  <c r="AU270" i="5"/>
  <c r="AX46" i="5"/>
  <c r="AY46" i="5" s="1"/>
  <c r="AU385" i="5"/>
  <c r="AT194" i="5"/>
  <c r="AX193" i="5" s="1"/>
  <c r="AY193" i="5" s="1"/>
  <c r="AA39" i="4"/>
  <c r="AC39" i="4" s="1"/>
  <c r="AD39" i="4" s="1"/>
  <c r="AT428" i="5"/>
  <c r="AX427" i="5" s="1"/>
  <c r="AY427" i="5" s="1"/>
  <c r="AT556" i="5"/>
  <c r="AX556" i="5" s="1"/>
  <c r="AY556" i="5" s="1"/>
  <c r="AT494" i="5"/>
  <c r="AX494" i="5" s="1"/>
  <c r="AY494" i="5" s="1"/>
  <c r="AT76" i="5"/>
  <c r="AX76" i="5" s="1"/>
  <c r="AY76" i="5" s="1"/>
  <c r="AK39" i="4"/>
  <c r="AU502" i="5"/>
  <c r="AT404" i="5"/>
  <c r="AU541" i="5"/>
  <c r="AU46" i="5"/>
  <c r="AT244" i="5"/>
  <c r="AT383" i="5"/>
  <c r="AX382" i="5" s="1"/>
  <c r="AY382" i="5" s="1"/>
  <c r="AU440" i="5"/>
  <c r="AX53" i="5"/>
  <c r="AY53" i="5" s="1"/>
  <c r="AX54" i="5"/>
  <c r="AY54" i="5" s="1"/>
  <c r="AU425" i="5"/>
  <c r="AU126" i="5"/>
  <c r="AU106" i="5"/>
  <c r="AT174" i="5"/>
  <c r="AX173" i="5" s="1"/>
  <c r="AY173" i="5" s="1"/>
  <c r="AT335" i="5"/>
  <c r="AX335" i="5" s="1"/>
  <c r="AY335" i="5" s="1"/>
  <c r="AT111" i="5"/>
  <c r="AX111" i="5" s="1"/>
  <c r="AY111" i="5" s="1"/>
  <c r="AT277" i="5"/>
  <c r="AX277" i="5" s="1"/>
  <c r="AY277" i="5" s="1"/>
  <c r="AT325" i="5"/>
  <c r="AX324" i="5" s="1"/>
  <c r="AY324" i="5" s="1"/>
  <c r="AT67" i="5"/>
  <c r="AX67" i="5" s="1"/>
  <c r="AY67" i="5" s="1"/>
  <c r="AT210" i="5"/>
  <c r="AX209" i="5" s="1"/>
  <c r="AY209" i="5" s="1"/>
  <c r="AT310" i="5"/>
  <c r="AX309" i="5" s="1"/>
  <c r="AT555" i="5"/>
  <c r="AX122" i="5"/>
  <c r="AY122" i="5" s="1"/>
  <c r="AU50" i="5"/>
  <c r="AT402" i="5"/>
  <c r="AT551" i="5"/>
  <c r="AX551" i="5" s="1"/>
  <c r="AY551" i="5" s="1"/>
  <c r="AX80" i="5"/>
  <c r="AY80" i="5" s="1"/>
  <c r="AT318" i="5"/>
  <c r="AX318" i="5" s="1"/>
  <c r="AY318" i="5" s="1"/>
  <c r="AT12" i="5"/>
  <c r="AU476" i="5"/>
  <c r="AU122" i="5"/>
  <c r="AT354" i="5"/>
  <c r="AX353" i="5" s="1"/>
  <c r="AY353" i="5" s="1"/>
  <c r="AT60" i="5"/>
  <c r="AX59" i="5" s="1"/>
  <c r="AY59" i="5" s="1"/>
  <c r="AT452" i="5"/>
  <c r="AT120" i="5"/>
  <c r="AX120" i="5" s="1"/>
  <c r="AY120" i="5" s="1"/>
  <c r="AU116" i="5"/>
  <c r="AT104" i="5"/>
  <c r="AX103" i="5" s="1"/>
  <c r="AY103" i="5" s="1"/>
  <c r="AT150" i="5"/>
  <c r="AX150" i="5" s="1"/>
  <c r="AY150" i="5" s="1"/>
  <c r="AU533" i="5"/>
  <c r="AU369" i="5"/>
  <c r="AT403" i="5"/>
  <c r="AU163" i="5"/>
  <c r="AK22" i="4"/>
  <c r="AT217" i="5"/>
  <c r="AX216" i="5" s="1"/>
  <c r="AY216" i="5" s="1"/>
  <c r="AX240" i="5"/>
  <c r="AY240" i="5" s="1"/>
  <c r="AU25" i="5"/>
  <c r="AU453" i="5"/>
  <c r="AU198" i="5"/>
  <c r="AU384" i="5"/>
  <c r="AT231" i="5"/>
  <c r="AX231" i="5" s="1"/>
  <c r="AY231" i="5" s="1"/>
  <c r="AU505" i="5"/>
  <c r="AU77" i="5"/>
  <c r="AU350" i="5"/>
  <c r="AT263" i="5"/>
  <c r="AX262" i="5" s="1"/>
  <c r="AY262" i="5" s="1"/>
  <c r="AT239" i="5"/>
  <c r="AX239" i="5" s="1"/>
  <c r="AY239" i="5" s="1"/>
  <c r="AO125" i="4"/>
  <c r="AT411" i="5"/>
  <c r="AX411" i="5" s="1"/>
  <c r="AY411" i="5" s="1"/>
  <c r="AU398" i="5"/>
  <c r="AK135" i="4"/>
  <c r="AT110" i="5"/>
  <c r="AX109" i="5" s="1"/>
  <c r="AY109" i="5" s="1"/>
  <c r="AX73" i="5"/>
  <c r="AY73" i="5" s="1"/>
  <c r="AU420" i="5"/>
  <c r="AU285" i="5"/>
  <c r="AT501" i="5"/>
  <c r="AX500" i="5" s="1"/>
  <c r="AY500" i="5" s="1"/>
  <c r="AU114" i="5"/>
  <c r="AU44" i="5"/>
  <c r="AU73" i="5"/>
  <c r="AT220" i="5"/>
  <c r="AX219" i="5" s="1"/>
  <c r="AY219" i="5" s="1"/>
  <c r="AT82" i="5"/>
  <c r="AX81" i="5" s="1"/>
  <c r="AY81" i="5" s="1"/>
  <c r="AU406" i="5"/>
  <c r="AU24" i="5"/>
  <c r="AU548" i="5"/>
  <c r="AT236" i="5"/>
  <c r="AX236" i="5" s="1"/>
  <c r="AY236" i="5" s="1"/>
  <c r="AU128" i="5"/>
  <c r="AU468" i="5"/>
  <c r="AU387" i="5"/>
  <c r="AX143" i="5"/>
  <c r="AY143" i="5" s="1"/>
  <c r="AU115" i="5"/>
  <c r="AX202" i="5"/>
  <c r="AY202" i="5" s="1"/>
  <c r="AU437" i="5"/>
  <c r="AT513" i="5"/>
  <c r="AX512" i="5" s="1"/>
  <c r="AY512" i="5" s="1"/>
  <c r="AT377" i="5"/>
  <c r="AX376" i="5" s="1"/>
  <c r="AY376" i="5" s="1"/>
  <c r="AX127" i="5"/>
  <c r="AY127" i="5" s="1"/>
  <c r="AT441" i="5"/>
  <c r="AX440" i="5" s="1"/>
  <c r="AY440" i="5" s="1"/>
  <c r="AT492" i="5"/>
  <c r="AX491" i="5" s="1"/>
  <c r="AY491" i="5" s="1"/>
  <c r="AT168" i="5"/>
  <c r="AX168" i="5" s="1"/>
  <c r="AY168" i="5" s="1"/>
  <c r="AU19" i="5"/>
  <c r="AT410" i="5"/>
  <c r="AU375" i="5"/>
  <c r="AT558" i="5"/>
  <c r="AX557" i="5" s="1"/>
  <c r="AY557" i="5" s="1"/>
  <c r="AU204" i="5"/>
  <c r="AU314" i="5"/>
  <c r="AU240" i="5"/>
  <c r="AT228" i="5"/>
  <c r="AT229" i="5"/>
  <c r="AX229" i="5" s="1"/>
  <c r="AY229" i="5" s="1"/>
  <c r="AU320" i="5"/>
  <c r="AU560" i="5"/>
  <c r="AU153" i="5"/>
  <c r="AT99" i="5"/>
  <c r="AX99" i="5" s="1"/>
  <c r="AY99" i="5" s="1"/>
  <c r="AT157" i="5"/>
  <c r="AT238" i="5"/>
  <c r="AT405" i="5"/>
  <c r="AU108" i="5"/>
  <c r="AU143" i="5"/>
  <c r="AT134" i="5"/>
  <c r="AX134" i="5" s="1"/>
  <c r="AY134" i="5" s="1"/>
  <c r="AR68" i="4"/>
  <c r="AT68" i="4" s="1"/>
  <c r="AU218" i="5"/>
  <c r="AT496" i="5"/>
  <c r="AX495" i="5" s="1"/>
  <c r="AY495" i="5" s="1"/>
  <c r="AT27" i="5"/>
  <c r="AX26" i="5" s="1"/>
  <c r="AY26" i="5" s="1"/>
  <c r="AX72" i="5"/>
  <c r="AY72" i="5" s="1"/>
  <c r="AU293" i="5"/>
  <c r="AU472" i="5"/>
  <c r="AX19" i="5"/>
  <c r="AY19" i="5" s="1"/>
  <c r="AT132" i="5"/>
  <c r="AX132" i="5" s="1"/>
  <c r="AY132" i="5" s="1"/>
  <c r="F69" i="1"/>
  <c r="AT473" i="5"/>
  <c r="AX472" i="5" s="1"/>
  <c r="AY472" i="5" s="1"/>
  <c r="AU68" i="5"/>
  <c r="AT197" i="5"/>
  <c r="AX197" i="5" s="1"/>
  <c r="AY197" i="5" s="1"/>
  <c r="AT179" i="5"/>
  <c r="AX179" i="5" s="1"/>
  <c r="AY179" i="5" s="1"/>
  <c r="AX198" i="5"/>
  <c r="AY198" i="5" s="1"/>
  <c r="AX218" i="5"/>
  <c r="AY218" i="5" s="1"/>
  <c r="AT388" i="5"/>
  <c r="AX388" i="5" s="1"/>
  <c r="AY388" i="5" s="1"/>
  <c r="AT75" i="5"/>
  <c r="AX68" i="5"/>
  <c r="AY68" i="5" s="1"/>
  <c r="AU209" i="5"/>
  <c r="AT66" i="5"/>
  <c r="AX254" i="5"/>
  <c r="AY254" i="5" s="1"/>
  <c r="AX255" i="5"/>
  <c r="AY255" i="5" s="1"/>
  <c r="AT141" i="5"/>
  <c r="AX141" i="5" s="1"/>
  <c r="AY141" i="5" s="1"/>
  <c r="AU447" i="5"/>
  <c r="AU29" i="5"/>
  <c r="AU95" i="5"/>
  <c r="AA12" i="4"/>
  <c r="AC12" i="4" s="1"/>
  <c r="AD12" i="4" s="1"/>
  <c r="AU255" i="5"/>
  <c r="AT401" i="5"/>
  <c r="AU93" i="5"/>
  <c r="AT65" i="5"/>
  <c r="AT529" i="5"/>
  <c r="AU53" i="5"/>
  <c r="AT528" i="5"/>
  <c r="AU35" i="5"/>
  <c r="AU45" i="5"/>
  <c r="AU199" i="5"/>
  <c r="AU414" i="5"/>
  <c r="AU103" i="5"/>
  <c r="AX128" i="5"/>
  <c r="AY128" i="5" s="1"/>
  <c r="AX102" i="5"/>
  <c r="AY102" i="5" s="1"/>
  <c r="AT291" i="5"/>
  <c r="AX290" i="5" s="1"/>
  <c r="AY290" i="5" s="1"/>
  <c r="AX71" i="5"/>
  <c r="AY71" i="5" s="1"/>
  <c r="AX101" i="5"/>
  <c r="AY101" i="5" s="1"/>
  <c r="AT321" i="5"/>
  <c r="AX321" i="5" s="1"/>
  <c r="AY321" i="5" s="1"/>
  <c r="AU480" i="5"/>
  <c r="AU20" i="5"/>
  <c r="AU102" i="5"/>
  <c r="AX208" i="5"/>
  <c r="AY208" i="5" s="1"/>
  <c r="AT559" i="5"/>
  <c r="AX559" i="5" s="1"/>
  <c r="AY559" i="5" s="1"/>
  <c r="AX129" i="5"/>
  <c r="AY129" i="5" s="1"/>
  <c r="AU219" i="5"/>
  <c r="AU247" i="5"/>
  <c r="AU129" i="5"/>
  <c r="AT323" i="5"/>
  <c r="AX323" i="5" s="1"/>
  <c r="AY323" i="5" s="1"/>
  <c r="AT272" i="5"/>
  <c r="AX272" i="5" s="1"/>
  <c r="AY272" i="5" s="1"/>
  <c r="AF26" i="4"/>
  <c r="AK26" i="4"/>
  <c r="AA26" i="4"/>
  <c r="AC26" i="4" s="1"/>
  <c r="AD26" i="4" s="1"/>
  <c r="AT409" i="5"/>
  <c r="AX408" i="5" s="1"/>
  <c r="AY408" i="5" s="1"/>
  <c r="AA129" i="4"/>
  <c r="AC129" i="4" s="1"/>
  <c r="AD129" i="4" s="1"/>
  <c r="AR129" i="4" s="1"/>
  <c r="AT129" i="4" s="1"/>
  <c r="AO12" i="4"/>
  <c r="AA72" i="4"/>
  <c r="AC72" i="4" s="1"/>
  <c r="AD72" i="4" s="1"/>
  <c r="AR72" i="4" s="1"/>
  <c r="AT72" i="4" s="1"/>
  <c r="AK129" i="4"/>
  <c r="AT11" i="5"/>
  <c r="AU393" i="5"/>
  <c r="AU407" i="5"/>
  <c r="AU185" i="5"/>
  <c r="AA109" i="4"/>
  <c r="AC109" i="4" s="1"/>
  <c r="AD109" i="4" s="1"/>
  <c r="AK109" i="4"/>
  <c r="AA148" i="4"/>
  <c r="AC148" i="4" s="1"/>
  <c r="AD148" i="4" s="1"/>
  <c r="AU64" i="5"/>
  <c r="AU307" i="5"/>
  <c r="AK148" i="4"/>
  <c r="AK72" i="4"/>
  <c r="AU287" i="5"/>
  <c r="AO152" i="4"/>
  <c r="AR152" i="4" s="1"/>
  <c r="AT152" i="4" s="1"/>
  <c r="AK67" i="4"/>
  <c r="AJ67" i="4"/>
  <c r="AA133" i="4"/>
  <c r="AC133" i="4" s="1"/>
  <c r="AD133" i="4" s="1"/>
  <c r="AT340" i="5"/>
  <c r="AX339" i="5" s="1"/>
  <c r="AY339" i="5" s="1"/>
  <c r="AA79" i="4"/>
  <c r="AC79" i="4" s="1"/>
  <c r="AD79" i="4" s="1"/>
  <c r="AJ152" i="4"/>
  <c r="AR108" i="4"/>
  <c r="AT108" i="4" s="1"/>
  <c r="AT10" i="5"/>
  <c r="AT249" i="5"/>
  <c r="AO67" i="4"/>
  <c r="AR67" i="4" s="1"/>
  <c r="AT67" i="4" s="1"/>
  <c r="AK79" i="4"/>
  <c r="AK133" i="4"/>
  <c r="AF133" i="4"/>
  <c r="AG133" i="4" s="1"/>
  <c r="AI133" i="4" s="1"/>
  <c r="AK152" i="4"/>
  <c r="AU230" i="5"/>
  <c r="AU346" i="5"/>
  <c r="AT299" i="5"/>
  <c r="AX299" i="5" s="1"/>
  <c r="AY299" i="5" s="1"/>
  <c r="AA132" i="4"/>
  <c r="AC132" i="4" s="1"/>
  <c r="AD132" i="4" s="1"/>
  <c r="AJ132" i="4"/>
  <c r="AK132" i="4"/>
  <c r="AO105" i="4"/>
  <c r="AG105" i="4"/>
  <c r="AI105" i="4" s="1"/>
  <c r="AF101" i="4"/>
  <c r="AA101" i="4"/>
  <c r="AC101" i="4" s="1"/>
  <c r="AD101" i="4" s="1"/>
  <c r="AK101" i="4"/>
  <c r="AF21" i="4"/>
  <c r="AA21" i="4"/>
  <c r="AC21" i="4" s="1"/>
  <c r="AD21" i="4" s="1"/>
  <c r="AK21" i="4"/>
  <c r="AF24" i="4"/>
  <c r="AK24" i="4"/>
  <c r="AF10" i="4"/>
  <c r="AA10" i="4"/>
  <c r="AC10" i="4" s="1"/>
  <c r="AD10" i="4" s="1"/>
  <c r="AK10" i="4"/>
  <c r="AG140" i="4"/>
  <c r="AI140" i="4" s="1"/>
  <c r="AO140" i="4"/>
  <c r="AO132" i="4"/>
  <c r="AG132" i="4"/>
  <c r="AI132" i="4" s="1"/>
  <c r="AA62" i="4"/>
  <c r="AC62" i="4" s="1"/>
  <c r="AD62" i="4" s="1"/>
  <c r="AF62" i="4"/>
  <c r="AK62" i="4"/>
  <c r="AJ144" i="4"/>
  <c r="Z155" i="4"/>
  <c r="AF155" i="4" s="1"/>
  <c r="Z144" i="4"/>
  <c r="AF144" i="4" s="1"/>
  <c r="AJ155" i="4"/>
  <c r="AF59" i="4"/>
  <c r="AK59" i="4"/>
  <c r="AA59" i="4"/>
  <c r="AC59" i="4" s="1"/>
  <c r="AD59" i="4" s="1"/>
  <c r="AG79" i="4"/>
  <c r="AI79" i="4" s="1"/>
  <c r="AO79" i="4"/>
  <c r="AA94" i="4"/>
  <c r="AC94" i="4" s="1"/>
  <c r="AD94" i="4" s="1"/>
  <c r="AJ94" i="4"/>
  <c r="AF83" i="4"/>
  <c r="AA83" i="4"/>
  <c r="AC83" i="4" s="1"/>
  <c r="AD83" i="4" s="1"/>
  <c r="AK83" i="4"/>
  <c r="AU8" i="5"/>
  <c r="AJ130" i="4"/>
  <c r="Z141" i="4"/>
  <c r="AA141" i="4" s="1"/>
  <c r="AC141" i="4" s="1"/>
  <c r="AD141" i="4" s="1"/>
  <c r="AF94" i="4"/>
  <c r="AK94" i="4"/>
  <c r="AA24" i="4"/>
  <c r="AC24" i="4" s="1"/>
  <c r="AD24" i="4" s="1"/>
  <c r="AJ24" i="4"/>
  <c r="AF58" i="4"/>
  <c r="AA58" i="4"/>
  <c r="AC58" i="4" s="1"/>
  <c r="AD58" i="4" s="1"/>
  <c r="AK58" i="4"/>
  <c r="Z130" i="4"/>
  <c r="AF130" i="4" s="1"/>
  <c r="AF34" i="4"/>
  <c r="AK34" i="4"/>
  <c r="AA34" i="4"/>
  <c r="AC34" i="4" s="1"/>
  <c r="AD34" i="4" s="1"/>
  <c r="AR75" i="4"/>
  <c r="AT75" i="4" s="1"/>
  <c r="AT292" i="5"/>
  <c r="AU391" i="5"/>
  <c r="AT235" i="5"/>
  <c r="AG76" i="4"/>
  <c r="AI76" i="4" s="1"/>
  <c r="AO76" i="4"/>
  <c r="AU162" i="5"/>
  <c r="AG84" i="4"/>
  <c r="AI84" i="4" s="1"/>
  <c r="AO84" i="4"/>
  <c r="AU169" i="5"/>
  <c r="AR143" i="4"/>
  <c r="AT143" i="4" s="1"/>
  <c r="AR103" i="4"/>
  <c r="AT103" i="4" s="1"/>
  <c r="AT487" i="5"/>
  <c r="AX487" i="5" s="1"/>
  <c r="AY487" i="5" s="1"/>
  <c r="AU412" i="5"/>
  <c r="AT458" i="5"/>
  <c r="AX458" i="5" s="1"/>
  <c r="AY458" i="5" s="1"/>
  <c r="AT550" i="5"/>
  <c r="AT233" i="5"/>
  <c r="AX232" i="5" s="1"/>
  <c r="AY232" i="5" s="1"/>
  <c r="AU364" i="5"/>
  <c r="AG120" i="4"/>
  <c r="AI120" i="4" s="1"/>
  <c r="AR120" i="4" s="1"/>
  <c r="AT120" i="4" s="1"/>
  <c r="AT549" i="5"/>
  <c r="AX548" i="5" s="1"/>
  <c r="AY548" i="5" s="1"/>
  <c r="AU328" i="5"/>
  <c r="AU396" i="5"/>
  <c r="AU457" i="5"/>
  <c r="AT547" i="5"/>
  <c r="AX547" i="5" s="1"/>
  <c r="AY547" i="5" s="1"/>
  <c r="AT326" i="5"/>
  <c r="AX326" i="5" s="1"/>
  <c r="AY326" i="5" s="1"/>
  <c r="AT52" i="5"/>
  <c r="AX52" i="5" s="1"/>
  <c r="AY52" i="5" s="1"/>
  <c r="AT196" i="5"/>
  <c r="AT207" i="5"/>
  <c r="AX206" i="5" s="1"/>
  <c r="AY206" i="5" s="1"/>
  <c r="AT545" i="5"/>
  <c r="AX544" i="5" s="1"/>
  <c r="AY544" i="5" s="1"/>
  <c r="AT430" i="5"/>
  <c r="AX429" i="5" s="1"/>
  <c r="AY429" i="5" s="1"/>
  <c r="AU315" i="5"/>
  <c r="AU47" i="5"/>
  <c r="AU92" i="5"/>
  <c r="AT423" i="5"/>
  <c r="AX423" i="5" s="1"/>
  <c r="AY423" i="5" s="1"/>
  <c r="AT527" i="5"/>
  <c r="AT443" i="5"/>
  <c r="AU271" i="5"/>
  <c r="AT510" i="5"/>
  <c r="AX509" i="5" s="1"/>
  <c r="AY509" i="5" s="1"/>
  <c r="AU225" i="5"/>
  <c r="AT352" i="5"/>
  <c r="AX351" i="5" s="1"/>
  <c r="AY351" i="5" s="1"/>
  <c r="AU79" i="5"/>
  <c r="AU418" i="5"/>
  <c r="AU139" i="5"/>
  <c r="AU539" i="5"/>
  <c r="AT535" i="5"/>
  <c r="AX535" i="5" s="1"/>
  <c r="AY535" i="5" s="1"/>
  <c r="AT191" i="5"/>
  <c r="AX191" i="5" s="1"/>
  <c r="AY191" i="5" s="1"/>
  <c r="AT56" i="5"/>
  <c r="AX56" i="5" s="1"/>
  <c r="AY56" i="5" s="1"/>
  <c r="AT497" i="5"/>
  <c r="AU57" i="5"/>
  <c r="AU490" i="5"/>
  <c r="AT419" i="5"/>
  <c r="AX418" i="5" s="1"/>
  <c r="AY418" i="5" s="1"/>
  <c r="AU98" i="5"/>
  <c r="AT96" i="5"/>
  <c r="AX96" i="5" s="1"/>
  <c r="AY96" i="5" s="1"/>
  <c r="AX347" i="5"/>
  <c r="AY347" i="5" s="1"/>
  <c r="AT542" i="5"/>
  <c r="AX542" i="5" s="1"/>
  <c r="AY542" i="5" s="1"/>
  <c r="AT154" i="5"/>
  <c r="AX153" i="5" s="1"/>
  <c r="AY153" i="5" s="1"/>
  <c r="AU84" i="5"/>
  <c r="AT172" i="5"/>
  <c r="AX172" i="5" s="1"/>
  <c r="AY172" i="5" s="1"/>
  <c r="AT358" i="5"/>
  <c r="AX358" i="5" s="1"/>
  <c r="AY358" i="5" s="1"/>
  <c r="AT124" i="5"/>
  <c r="AX123" i="5" s="1"/>
  <c r="AY123" i="5" s="1"/>
  <c r="AX384" i="5"/>
  <c r="AY384" i="5" s="1"/>
  <c r="AT164" i="5"/>
  <c r="AX163" i="5" s="1"/>
  <c r="AY163" i="5" s="1"/>
  <c r="AU503" i="5"/>
  <c r="AU330" i="5"/>
  <c r="AU211" i="5"/>
  <c r="AU322" i="5"/>
  <c r="AU281" i="5"/>
  <c r="AT61" i="5"/>
  <c r="AU435" i="5"/>
  <c r="AT227" i="5"/>
  <c r="AX226" i="5" s="1"/>
  <c r="AY226" i="5" s="1"/>
  <c r="AT526" i="5"/>
  <c r="AX525" i="5" s="1"/>
  <c r="AY525" i="5" s="1"/>
  <c r="AU224" i="5"/>
  <c r="AU39" i="5"/>
  <c r="AT28" i="5"/>
  <c r="AX28" i="5" s="1"/>
  <c r="AY28" i="5" s="1"/>
  <c r="AT519" i="5"/>
  <c r="AT357" i="5"/>
  <c r="AX356" i="5" s="1"/>
  <c r="AY356" i="5" s="1"/>
  <c r="AT107" i="5"/>
  <c r="AX107" i="5" s="1"/>
  <c r="AY107" i="5" s="1"/>
  <c r="AX135" i="5"/>
  <c r="AY135" i="5" s="1"/>
  <c r="AU493" i="5"/>
  <c r="AU177" i="5"/>
  <c r="AU131" i="5"/>
  <c r="AT51" i="5"/>
  <c r="AT246" i="5"/>
  <c r="AX245" i="5" s="1"/>
  <c r="AY245" i="5" s="1"/>
  <c r="AT442" i="5"/>
  <c r="AX479" i="5"/>
  <c r="AY479" i="5" s="1"/>
  <c r="AX552" i="5"/>
  <c r="AY552" i="5" s="1"/>
  <c r="AX456" i="5"/>
  <c r="AY456" i="5" s="1"/>
  <c r="AX159" i="5"/>
  <c r="AY159" i="5" s="1"/>
  <c r="AT89" i="5"/>
  <c r="AX286" i="5"/>
  <c r="AY286" i="5" s="1"/>
  <c r="AT516" i="5"/>
  <c r="AX515" i="5" s="1"/>
  <c r="AY515" i="5" s="1"/>
  <c r="AT41" i="5"/>
  <c r="AU71" i="5"/>
  <c r="AT367" i="5"/>
  <c r="AX367" i="5" s="1"/>
  <c r="AY367" i="5" s="1"/>
  <c r="AU86" i="5"/>
  <c r="AT190" i="5"/>
  <c r="AT152" i="5"/>
  <c r="AX151" i="5" s="1"/>
  <c r="AY151" i="5" s="1"/>
  <c r="AU273" i="5"/>
  <c r="AU439" i="5"/>
  <c r="AX311" i="5"/>
  <c r="AY311" i="5" s="1"/>
  <c r="AT88" i="5"/>
  <c r="AX87" i="5" s="1"/>
  <c r="AY87" i="5" s="1"/>
  <c r="AX407" i="5"/>
  <c r="AY407" i="5" s="1"/>
  <c r="AX328" i="5"/>
  <c r="AT156" i="5"/>
  <c r="AU195" i="5"/>
  <c r="AX349" i="5"/>
  <c r="AY349" i="5" s="1"/>
  <c r="AU368" i="5"/>
  <c r="B123" i="2"/>
  <c r="H29" i="1" s="1"/>
  <c r="AU355" i="5"/>
  <c r="AT334" i="5"/>
  <c r="AX333" i="5" s="1"/>
  <c r="AY333" i="5" s="1"/>
  <c r="AU276" i="5"/>
  <c r="AT30" i="5"/>
  <c r="AX30" i="5" s="1"/>
  <c r="AY30" i="5" s="1"/>
  <c r="AX523" i="5"/>
  <c r="AY523" i="5" s="1"/>
  <c r="AX169" i="5"/>
  <c r="AY169" i="5" s="1"/>
  <c r="AT415" i="5"/>
  <c r="AX415" i="5" s="1"/>
  <c r="AY415" i="5" s="1"/>
  <c r="AT531" i="5"/>
  <c r="AX531" i="5" s="1"/>
  <c r="AY531" i="5" s="1"/>
  <c r="AX503" i="5"/>
  <c r="AY503" i="5" s="1"/>
  <c r="AT431" i="5"/>
  <c r="AX431" i="5" s="1"/>
  <c r="AY431" i="5" s="1"/>
  <c r="AU372" i="5"/>
  <c r="AT242" i="5"/>
  <c r="AX241" i="5" s="1"/>
  <c r="AY241" i="5" s="1"/>
  <c r="AU389" i="5"/>
  <c r="AR97" i="4"/>
  <c r="AT97" i="4" s="1"/>
  <c r="AR45" i="4"/>
  <c r="AT45" i="4" s="1"/>
  <c r="AX488" i="5"/>
  <c r="AY488" i="5" s="1"/>
  <c r="AU250" i="5"/>
  <c r="AX520" i="5"/>
  <c r="AY520" i="5" s="1"/>
  <c r="AX251" i="5"/>
  <c r="AY251" i="5" s="1"/>
  <c r="AX368" i="5"/>
  <c r="AY368" i="5" s="1"/>
  <c r="AU507" i="5"/>
  <c r="AU474" i="5"/>
  <c r="AX449" i="5"/>
  <c r="AY449" i="5" s="1"/>
  <c r="AO32" i="4"/>
  <c r="AR32" i="4" s="1"/>
  <c r="AT32" i="4" s="1"/>
  <c r="AR17" i="4"/>
  <c r="AT17" i="4" s="1"/>
  <c r="AX350" i="5"/>
  <c r="AY350" i="5" s="1"/>
  <c r="AX392" i="5"/>
  <c r="AY392" i="5" s="1"/>
  <c r="AX34" i="5"/>
  <c r="AY34" i="5" s="1"/>
  <c r="AR123" i="4"/>
  <c r="AT123" i="4" s="1"/>
  <c r="AR111" i="4"/>
  <c r="AT111" i="4" s="1"/>
  <c r="AX180" i="5"/>
  <c r="AY180" i="5" s="1"/>
  <c r="AX287" i="5"/>
  <c r="AY287" i="5" s="1"/>
  <c r="AX505" i="5"/>
  <c r="AY505" i="5" s="1"/>
  <c r="AX434" i="5"/>
  <c r="AY434" i="5" s="1"/>
  <c r="AO95" i="4"/>
  <c r="AG95" i="4"/>
  <c r="AI95" i="4" s="1"/>
  <c r="AO116" i="4"/>
  <c r="AG116" i="4"/>
  <c r="AI116" i="4" s="1"/>
  <c r="AG134" i="4"/>
  <c r="AI134" i="4" s="1"/>
  <c r="AO134" i="4"/>
  <c r="AG69" i="4"/>
  <c r="AI69" i="4" s="1"/>
  <c r="AO69" i="4"/>
  <c r="AG20" i="4"/>
  <c r="AI20" i="4" s="1"/>
  <c r="AO20" i="4"/>
  <c r="AG38" i="4"/>
  <c r="AI38" i="4" s="1"/>
  <c r="AO38" i="4"/>
  <c r="AO126" i="4"/>
  <c r="AG126" i="4"/>
  <c r="AI126" i="4" s="1"/>
  <c r="AR70" i="4"/>
  <c r="AT70" i="4" s="1"/>
  <c r="AG23" i="4"/>
  <c r="AI23" i="4" s="1"/>
  <c r="AO23" i="4"/>
  <c r="AG127" i="4"/>
  <c r="AI127" i="4" s="1"/>
  <c r="AO127" i="4"/>
  <c r="AG109" i="4"/>
  <c r="AI109" i="4" s="1"/>
  <c r="AO109" i="4"/>
  <c r="AO100" i="4"/>
  <c r="AG100" i="4"/>
  <c r="AI100" i="4" s="1"/>
  <c r="AO64" i="4"/>
  <c r="AG64" i="4"/>
  <c r="AI64" i="4" s="1"/>
  <c r="AR44" i="4"/>
  <c r="AT44" i="4" s="1"/>
  <c r="AG8" i="4"/>
  <c r="AI8" i="4" s="1"/>
  <c r="AO8" i="4"/>
  <c r="AO128" i="4"/>
  <c r="AG128" i="4"/>
  <c r="AI128" i="4" s="1"/>
  <c r="AG150" i="4"/>
  <c r="AI150" i="4" s="1"/>
  <c r="AO150" i="4"/>
  <c r="AG86" i="4"/>
  <c r="AI86" i="4" s="1"/>
  <c r="AO86" i="4"/>
  <c r="AG77" i="4"/>
  <c r="AI77" i="4" s="1"/>
  <c r="AO77" i="4"/>
  <c r="AO47" i="4"/>
  <c r="AG47" i="4"/>
  <c r="AI47" i="4" s="1"/>
  <c r="AG93" i="4"/>
  <c r="AI93" i="4" s="1"/>
  <c r="AO93" i="4"/>
  <c r="AO7" i="4"/>
  <c r="AG7" i="4"/>
  <c r="AI7" i="4" s="1"/>
  <c r="AG148" i="4"/>
  <c r="AI148" i="4" s="1"/>
  <c r="AO148" i="4"/>
  <c r="AX338" i="5"/>
  <c r="AY338" i="5" s="1"/>
  <c r="AO135" i="4"/>
  <c r="AG135" i="4"/>
  <c r="AI135" i="4" s="1"/>
  <c r="AO14" i="4"/>
  <c r="AG14" i="4"/>
  <c r="AI14" i="4" s="1"/>
  <c r="AO157" i="4"/>
  <c r="AG157" i="4"/>
  <c r="AI157" i="4" s="1"/>
  <c r="AO137" i="4"/>
  <c r="AG137" i="4"/>
  <c r="AI137" i="4" s="1"/>
  <c r="AO63" i="4"/>
  <c r="AG63" i="4"/>
  <c r="AI63" i="4" s="1"/>
  <c r="AO39" i="4"/>
  <c r="AG39" i="4"/>
  <c r="AI39" i="4" s="1"/>
  <c r="AO52" i="4"/>
  <c r="AG52" i="4"/>
  <c r="AI52" i="4" s="1"/>
  <c r="AT9" i="5"/>
  <c r="AU9" i="5"/>
  <c r="AX341" i="5"/>
  <c r="AY341" i="5" s="1"/>
  <c r="AX86" i="5"/>
  <c r="AY86" i="5" s="1"/>
  <c r="AX498" i="5"/>
  <c r="AY498" i="5" s="1"/>
  <c r="AX314" i="5"/>
  <c r="AX224" i="5"/>
  <c r="AY224" i="5" s="1"/>
  <c r="AX183" i="5"/>
  <c r="AY183" i="5" s="1"/>
  <c r="AX464" i="5"/>
  <c r="AY464" i="5" s="1"/>
  <c r="AX84" i="5"/>
  <c r="AY84" i="5" s="1"/>
  <c r="AX39" i="5"/>
  <c r="AY39" i="5" s="1"/>
  <c r="AX447" i="5"/>
  <c r="AY447" i="5" s="1"/>
  <c r="AX33" i="5"/>
  <c r="AY33" i="5" s="1"/>
  <c r="AX362" i="5"/>
  <c r="AY362" i="5" s="1"/>
  <c r="AR114" i="4"/>
  <c r="AT114" i="4" s="1"/>
  <c r="AX355" i="5"/>
  <c r="AY355" i="5" s="1"/>
  <c r="AX279" i="5"/>
  <c r="AY279" i="5" s="1"/>
  <c r="AX160" i="5"/>
  <c r="AY160" i="5" s="1"/>
  <c r="AX260" i="5"/>
  <c r="AY260" i="5" s="1"/>
  <c r="AX435" i="5"/>
  <c r="AY435" i="5" s="1"/>
  <c r="AX369" i="5"/>
  <c r="AY369" i="5" s="1"/>
  <c r="AX188" i="5"/>
  <c r="AY188" i="5" s="1"/>
  <c r="AX252" i="5"/>
  <c r="AY252" i="5" s="1"/>
  <c r="AX199" i="5"/>
  <c r="AY199" i="5" s="1"/>
  <c r="AX329" i="5"/>
  <c r="AY329" i="5" s="1"/>
  <c r="AX274" i="5"/>
  <c r="AY274" i="5" s="1"/>
  <c r="AX165" i="5"/>
  <c r="AY165" i="5" s="1"/>
  <c r="AX283" i="5"/>
  <c r="AY283" i="5" s="1"/>
  <c r="AX481" i="5"/>
  <c r="AY481" i="5" s="1"/>
  <c r="AX395" i="5"/>
  <c r="AY395" i="5" s="1"/>
  <c r="AX364" i="5"/>
  <c r="AY364" i="5" s="1"/>
  <c r="AX137" i="5"/>
  <c r="AY137" i="5" s="1"/>
  <c r="AX424" i="5"/>
  <c r="AY424" i="5" s="1"/>
  <c r="AX79" i="5"/>
  <c r="AY79" i="5" s="1"/>
  <c r="AX379" i="5"/>
  <c r="AY379" i="5" s="1"/>
  <c r="AX432" i="5"/>
  <c r="AY432" i="5" s="1"/>
  <c r="AX269" i="5"/>
  <c r="AY269" i="5" s="1"/>
  <c r="AX211" i="5"/>
  <c r="AY211" i="5" s="1"/>
  <c r="AX489" i="5"/>
  <c r="AY489" i="5" s="1"/>
  <c r="AX85" i="5"/>
  <c r="AY85" i="5" s="1"/>
  <c r="AX25" i="5"/>
  <c r="AY25" i="5" s="1"/>
  <c r="AX288" i="5"/>
  <c r="AY288" i="5" s="1"/>
  <c r="AX265" i="5"/>
  <c r="AY265" i="5" s="1"/>
  <c r="AX372" i="5"/>
  <c r="AY372" i="5" s="1"/>
  <c r="AX303" i="5"/>
  <c r="AY303" i="5" s="1"/>
  <c r="AX342" i="5"/>
  <c r="AY342" i="5" s="1"/>
  <c r="AX43" i="5"/>
  <c r="AY43" i="5" s="1"/>
  <c r="AX146" i="5"/>
  <c r="AY146" i="5" s="1"/>
  <c r="AX270" i="5"/>
  <c r="AY270" i="5" s="1"/>
  <c r="AX176" i="5"/>
  <c r="AY176" i="5" s="1"/>
  <c r="AX187" i="5"/>
  <c r="AY187" i="5" s="1"/>
  <c r="AX398" i="5"/>
  <c r="AY398" i="5" s="1"/>
  <c r="AX421" i="5"/>
  <c r="AY421" i="5" s="1"/>
  <c r="AX337" i="5"/>
  <c r="AY337" i="5" s="1"/>
  <c r="AX345" i="5"/>
  <c r="AY345" i="5" s="1"/>
  <c r="AX223" i="5"/>
  <c r="AY223" i="5" s="1"/>
  <c r="AX413" i="5"/>
  <c r="AY413" i="5" s="1"/>
  <c r="AX380" i="5"/>
  <c r="AY380" i="5" s="1"/>
  <c r="AX386" i="5"/>
  <c r="AY386" i="5" s="1"/>
  <c r="AX130" i="5"/>
  <c r="AY130" i="5" s="1"/>
  <c r="AX63" i="5"/>
  <c r="AY63" i="5" s="1"/>
  <c r="AX331" i="5"/>
  <c r="AY331" i="5" s="1"/>
  <c r="AX261" i="5"/>
  <c r="AY261" i="5" s="1"/>
  <c r="AX205" i="5"/>
  <c r="AY205" i="5" s="1"/>
  <c r="AX511" i="5"/>
  <c r="AY511" i="5" s="1"/>
  <c r="AX161" i="5"/>
  <c r="AY161" i="5" s="1"/>
  <c r="AX282" i="5"/>
  <c r="AY282" i="5" s="1"/>
  <c r="AX438" i="5"/>
  <c r="AY438" i="5" s="1"/>
  <c r="AX37" i="5"/>
  <c r="AY37" i="5" s="1"/>
  <c r="AX273" i="5"/>
  <c r="AY273" i="5" s="1"/>
  <c r="AX537" i="5"/>
  <c r="AY537" i="5" s="1"/>
  <c r="AX83" i="5"/>
  <c r="AY83" i="5" s="1"/>
  <c r="AR92" i="4"/>
  <c r="AT92" i="4" s="1"/>
  <c r="AR121" i="4"/>
  <c r="AT121" i="4" s="1"/>
  <c r="AR154" i="4"/>
  <c r="AT154" i="4" s="1"/>
  <c r="AR156" i="4"/>
  <c r="AT156" i="4" s="1"/>
  <c r="AR50" i="4"/>
  <c r="AT50" i="4" s="1"/>
  <c r="AR29" i="4"/>
  <c r="AT29" i="4" s="1"/>
  <c r="AR138" i="4"/>
  <c r="AT138" i="4" s="1"/>
  <c r="AR104" i="4"/>
  <c r="AT104" i="4" s="1"/>
  <c r="AR113" i="4"/>
  <c r="AT113" i="4" s="1"/>
  <c r="AR147" i="4"/>
  <c r="AT147" i="4" s="1"/>
  <c r="AR51" i="4"/>
  <c r="AT51" i="4" s="1"/>
  <c r="AR122" i="4"/>
  <c r="AT122" i="4" s="1"/>
  <c r="AR65" i="4"/>
  <c r="AT65" i="4" s="1"/>
  <c r="AR124" i="4"/>
  <c r="AT124" i="4" s="1"/>
  <c r="AR88" i="4"/>
  <c r="AT88" i="4" s="1"/>
  <c r="AR90" i="4"/>
  <c r="AT90" i="4" s="1"/>
  <c r="AR11" i="4"/>
  <c r="AT11" i="4" s="1"/>
  <c r="AR146" i="4"/>
  <c r="AT146" i="4" s="1"/>
  <c r="AR33" i="4"/>
  <c r="AT33" i="4" s="1"/>
  <c r="AR131" i="4"/>
  <c r="AT131" i="4" s="1"/>
  <c r="AX394" i="5"/>
  <c r="AY394" i="5" s="1"/>
  <c r="AX166" i="5"/>
  <c r="AY166" i="5" s="1"/>
  <c r="AT13" i="5"/>
  <c r="AU13" i="5"/>
  <c r="AX436" i="5"/>
  <c r="AY436" i="5" s="1"/>
  <c r="AX44" i="5"/>
  <c r="AY44" i="5" s="1"/>
  <c r="AX92" i="5"/>
  <c r="AY92" i="5" s="1"/>
  <c r="AX381" i="5"/>
  <c r="AY381" i="5" s="1"/>
  <c r="AX215" i="5"/>
  <c r="AY215" i="5" s="1"/>
  <c r="AR28" i="4"/>
  <c r="AT28" i="4" s="1"/>
  <c r="AX280" i="5"/>
  <c r="AY280" i="5" s="1"/>
  <c r="AX125" i="5"/>
  <c r="AY125" i="5" s="1"/>
  <c r="AX476" i="5"/>
  <c r="AY476" i="5" s="1"/>
  <c r="AX445" i="5"/>
  <c r="AY445" i="5" s="1"/>
  <c r="AX225" i="5"/>
  <c r="AY225" i="5" s="1"/>
  <c r="AX24" i="5"/>
  <c r="AY24" i="5" s="1"/>
  <c r="AX448" i="5"/>
  <c r="AY448" i="5" s="1"/>
  <c r="AR80" i="4"/>
  <c r="AT80" i="4" s="1"/>
  <c r="AX256" i="5"/>
  <c r="AY256" i="5" s="1"/>
  <c r="AX275" i="5"/>
  <c r="AY275" i="5" s="1"/>
  <c r="AX32" i="5"/>
  <c r="AY32" i="5" s="1"/>
  <c r="AX504" i="5"/>
  <c r="AY504" i="5" s="1"/>
  <c r="AX319" i="5"/>
  <c r="AY319" i="5" s="1"/>
  <c r="AX393" i="5"/>
  <c r="AY393" i="5" s="1"/>
  <c r="AX467" i="5"/>
  <c r="AY467" i="5" s="1"/>
  <c r="F70" i="1"/>
  <c r="B231" i="2"/>
  <c r="F71" i="1" s="1"/>
  <c r="AX385" i="5"/>
  <c r="AY385" i="5" s="1"/>
  <c r="AX506" i="5"/>
  <c r="AY506" i="5" s="1"/>
  <c r="AX417" i="5"/>
  <c r="AY417" i="5" s="1"/>
  <c r="AX70" i="5"/>
  <c r="AY70" i="5" s="1"/>
  <c r="AR99" i="4"/>
  <c r="AT99" i="4" s="1"/>
  <c r="AX538" i="5"/>
  <c r="AY538" i="5" s="1"/>
  <c r="AX22" i="5"/>
  <c r="AY22" i="5" s="1"/>
  <c r="AX396" i="5"/>
  <c r="AY396" i="5" s="1"/>
  <c r="AX446" i="5"/>
  <c r="AY446" i="5" s="1"/>
  <c r="AX348" i="5"/>
  <c r="AY348" i="5" s="1"/>
  <c r="AX420" i="5"/>
  <c r="AY420" i="5" s="1"/>
  <c r="AX117" i="5"/>
  <c r="AY117" i="5" s="1"/>
  <c r="AX433" i="5"/>
  <c r="AY433" i="5" s="1"/>
  <c r="AX484" i="5"/>
  <c r="AY484" i="5" s="1"/>
  <c r="AX553" i="5"/>
  <c r="AY553" i="5" s="1"/>
  <c r="AX471" i="5"/>
  <c r="AY471" i="5" s="1"/>
  <c r="AX203" i="5"/>
  <c r="AY203" i="5" s="1"/>
  <c r="AX204" i="5"/>
  <c r="AY204" i="5" s="1"/>
  <c r="AX480" i="5"/>
  <c r="AY480" i="5" s="1"/>
  <c r="AX453" i="5"/>
  <c r="AY453" i="5" s="1"/>
  <c r="AR107" i="4"/>
  <c r="AT107" i="4" s="1"/>
  <c r="AX138" i="5"/>
  <c r="AY138" i="5" s="1"/>
  <c r="AX439" i="5"/>
  <c r="AY439" i="5" s="1"/>
  <c r="AX108" i="5"/>
  <c r="AY108" i="5" s="1"/>
  <c r="AR16" i="4"/>
  <c r="AT16" i="4" s="1"/>
  <c r="AX304" i="5"/>
  <c r="AY304" i="5" s="1"/>
  <c r="AX532" i="5"/>
  <c r="AY532" i="5" s="1"/>
  <c r="AR55" i="4"/>
  <c r="AT55" i="4" s="1"/>
  <c r="AR115" i="4"/>
  <c r="AT115" i="4" s="1"/>
  <c r="AR42" i="4"/>
  <c r="AT42" i="4" s="1"/>
  <c r="AX121" i="5"/>
  <c r="AY121" i="5" s="1"/>
  <c r="AX289" i="5"/>
  <c r="AY289" i="5" s="1"/>
  <c r="AX490" i="5"/>
  <c r="AY490" i="5" s="1"/>
  <c r="AX297" i="5"/>
  <c r="AY297" i="5" s="1"/>
  <c r="AX459" i="5"/>
  <c r="AY459" i="5" s="1"/>
  <c r="AX514" i="5"/>
  <c r="AY514" i="5" s="1"/>
  <c r="AX136" i="5"/>
  <c r="AY136" i="5" s="1"/>
  <c r="AR60" i="4"/>
  <c r="AT60" i="4" s="1"/>
  <c r="AX397" i="5"/>
  <c r="AY397" i="5" s="1"/>
  <c r="AX543" i="5"/>
  <c r="AY543" i="5" s="1"/>
  <c r="AX100" i="5"/>
  <c r="AY100" i="5" s="1"/>
  <c r="AX346" i="5"/>
  <c r="AY346" i="5" s="1"/>
  <c r="AX460" i="5"/>
  <c r="AY460" i="5" s="1"/>
  <c r="AX521" i="5"/>
  <c r="AY521" i="5" s="1"/>
  <c r="AX522" i="5"/>
  <c r="AY522" i="5" s="1"/>
  <c r="AO73" i="4"/>
  <c r="AG73" i="4"/>
  <c r="AI73" i="4" s="1"/>
  <c r="AX69" i="5"/>
  <c r="AY69" i="5" s="1"/>
  <c r="AX416" i="5"/>
  <c r="AY416" i="5" s="1"/>
  <c r="AX268" i="5"/>
  <c r="AY268" i="5" s="1"/>
  <c r="AX399" i="5"/>
  <c r="AY399" i="5" s="1"/>
  <c r="AX281" i="5"/>
  <c r="AY281" i="5" s="1"/>
  <c r="AX330" i="5"/>
  <c r="AX375" i="5"/>
  <c r="AY375" i="5" s="1"/>
  <c r="AX192" i="5"/>
  <c r="AY192" i="5" s="1"/>
  <c r="AX126" i="5"/>
  <c r="AY126" i="5" s="1"/>
  <c r="AX162" i="5"/>
  <c r="AY162" i="5" s="1"/>
  <c r="AX170" i="5"/>
  <c r="AY170" i="5" s="1"/>
  <c r="AX336" i="5"/>
  <c r="AY336" i="5" s="1"/>
  <c r="AX293" i="5"/>
  <c r="AY293" i="5" s="1"/>
  <c r="AR117" i="4"/>
  <c r="AT117" i="4" s="1"/>
  <c r="AX91" i="5"/>
  <c r="AY91" i="5" s="1"/>
  <c r="AR119" i="4"/>
  <c r="AT119" i="4" s="1"/>
  <c r="AX524" i="5"/>
  <c r="AY524" i="5" s="1"/>
  <c r="AX437" i="5"/>
  <c r="AY437" i="5" s="1"/>
  <c r="AR56" i="4"/>
  <c r="AT56" i="4" s="1"/>
  <c r="AX536" i="5"/>
  <c r="AY536" i="5" s="1"/>
  <c r="AX296" i="5"/>
  <c r="AY296" i="5" s="1"/>
  <c r="AX253" i="5"/>
  <c r="AY253" i="5" s="1"/>
  <c r="AX502" i="5"/>
  <c r="AY502" i="5" s="1"/>
  <c r="AX391" i="5"/>
  <c r="AY391" i="5" s="1"/>
  <c r="AX250" i="5"/>
  <c r="AY250" i="5" s="1"/>
  <c r="AX412" i="5"/>
  <c r="AY412" i="5" s="1"/>
  <c r="AX114" i="5"/>
  <c r="AY114" i="5" s="1"/>
  <c r="AR110" i="4"/>
  <c r="AT110" i="4" s="1"/>
  <c r="AX284" i="5"/>
  <c r="AY284" i="5" s="1"/>
  <c r="AX533" i="5"/>
  <c r="AY533" i="5" s="1"/>
  <c r="AX332" i="5"/>
  <c r="AY332" i="5" s="1"/>
  <c r="AX327" i="5"/>
  <c r="AR13" i="4"/>
  <c r="AT13" i="4" s="1"/>
  <c r="AX31" i="5"/>
  <c r="AY31" i="5" s="1"/>
  <c r="AR153" i="4"/>
  <c r="AT153" i="4" s="1"/>
  <c r="AX285" i="5"/>
  <c r="AY285" i="5" s="1"/>
  <c r="AX181" i="5"/>
  <c r="AY181" i="5" s="1"/>
  <c r="AX406" i="5"/>
  <c r="AY406" i="5" s="1"/>
  <c r="AX363" i="5"/>
  <c r="AY363" i="5" s="1"/>
  <c r="AX142" i="5"/>
  <c r="AY142" i="5" s="1"/>
  <c r="AX38" i="5"/>
  <c r="AY38" i="5" s="1"/>
  <c r="AX499" i="5"/>
  <c r="AY499" i="5" s="1"/>
  <c r="AR48" i="4"/>
  <c r="AT48" i="4" s="1"/>
  <c r="AY330" i="5" l="1"/>
  <c r="AY300" i="5"/>
  <c r="AG54" i="4"/>
  <c r="AI54" i="4" s="1"/>
  <c r="AR54" i="4" s="1"/>
  <c r="AT54" i="4" s="1"/>
  <c r="AY314" i="5"/>
  <c r="AO35" i="4"/>
  <c r="AR35" i="4" s="1"/>
  <c r="AT35" i="4" s="1"/>
  <c r="AY327" i="5"/>
  <c r="AG91" i="4"/>
  <c r="AI91" i="4" s="1"/>
  <c r="AR91" i="4" s="1"/>
  <c r="AT91" i="4" s="1"/>
  <c r="AX370" i="5"/>
  <c r="AY370" i="5" s="1"/>
  <c r="AX426" i="5"/>
  <c r="AY426" i="5" s="1"/>
  <c r="AX234" i="5"/>
  <c r="AY234" i="5" s="1"/>
  <c r="AX508" i="5"/>
  <c r="AY508" i="5" s="1"/>
  <c r="AY309" i="5"/>
  <c r="AX482" i="5"/>
  <c r="AY482" i="5" s="1"/>
  <c r="AY328" i="5"/>
  <c r="AO37" i="4"/>
  <c r="AR37" i="4" s="1"/>
  <c r="AT37" i="4" s="1"/>
  <c r="AX451" i="5"/>
  <c r="AY451" i="5" s="1"/>
  <c r="AX402" i="5"/>
  <c r="AY402" i="5" s="1"/>
  <c r="AX469" i="5"/>
  <c r="AY469" i="5" s="1"/>
  <c r="AX529" i="5"/>
  <c r="AY529" i="5" s="1"/>
  <c r="AX462" i="5"/>
  <c r="AY462" i="5" s="1"/>
  <c r="AX465" i="5"/>
  <c r="AY465" i="5" s="1"/>
  <c r="AX243" i="5"/>
  <c r="AY243" i="5" s="1"/>
  <c r="AX540" i="5"/>
  <c r="AY540" i="5" s="1"/>
  <c r="AR142" i="4"/>
  <c r="AT142" i="4" s="1"/>
  <c r="AX468" i="5"/>
  <c r="AY468" i="5" s="1"/>
  <c r="AX307" i="5"/>
  <c r="AY307" i="5" s="1"/>
  <c r="AX518" i="5"/>
  <c r="AY518" i="5" s="1"/>
  <c r="AX555" i="5"/>
  <c r="AY555" i="5" s="1"/>
  <c r="AX312" i="5"/>
  <c r="AY312" i="5" s="1"/>
  <c r="AX390" i="5"/>
  <c r="AY390" i="5" s="1"/>
  <c r="AX455" i="5"/>
  <c r="AY455" i="5" s="1"/>
  <c r="AX478" i="5"/>
  <c r="AY478" i="5" s="1"/>
  <c r="AX474" i="5"/>
  <c r="AY474" i="5" s="1"/>
  <c r="AX266" i="5"/>
  <c r="AY266" i="5" s="1"/>
  <c r="AX200" i="5"/>
  <c r="AY200" i="5" s="1"/>
  <c r="AX57" i="5"/>
  <c r="AY57" i="5" s="1"/>
  <c r="AX374" i="5"/>
  <c r="AY374" i="5" s="1"/>
  <c r="AX410" i="5"/>
  <c r="AY410" i="5" s="1"/>
  <c r="AR125" i="4"/>
  <c r="AT125" i="4" s="1"/>
  <c r="AX41" i="5"/>
  <c r="AY41" i="5" s="1"/>
  <c r="AG22" i="4"/>
  <c r="AI22" i="4" s="1"/>
  <c r="AR22" i="4" s="1"/>
  <c r="AT22" i="4" s="1"/>
  <c r="AX513" i="5"/>
  <c r="AY513" i="5" s="1"/>
  <c r="AX305" i="5"/>
  <c r="AY305" i="5" s="1"/>
  <c r="AX315" i="5"/>
  <c r="AY315" i="5" s="1"/>
  <c r="AX295" i="5"/>
  <c r="AY295" i="5" s="1"/>
  <c r="AX213" i="5"/>
  <c r="AY213" i="5" s="1"/>
  <c r="AX221" i="5"/>
  <c r="AY221" i="5" s="1"/>
  <c r="AX145" i="5"/>
  <c r="AY145" i="5" s="1"/>
  <c r="AX185" i="5"/>
  <c r="AY185" i="5" s="1"/>
  <c r="AX443" i="5"/>
  <c r="AY443" i="5" s="1"/>
  <c r="AX36" i="5"/>
  <c r="AY36" i="5" s="1"/>
  <c r="AX360" i="5"/>
  <c r="AY360" i="5" s="1"/>
  <c r="AX354" i="5"/>
  <c r="AY354" i="5" s="1"/>
  <c r="AX359" i="5"/>
  <c r="AY359" i="5" s="1"/>
  <c r="AX248" i="5"/>
  <c r="AY248" i="5" s="1"/>
  <c r="AX301" i="5"/>
  <c r="AY301" i="5" s="1"/>
  <c r="AX174" i="5"/>
  <c r="AY174" i="5" s="1"/>
  <c r="AX112" i="5"/>
  <c r="AY112" i="5" s="1"/>
  <c r="AX428" i="5"/>
  <c r="AY428" i="5" s="1"/>
  <c r="AX310" i="5"/>
  <c r="AY310" i="5" s="1"/>
  <c r="AX47" i="5"/>
  <c r="AY47" i="5" s="1"/>
  <c r="AX157" i="5"/>
  <c r="AY157" i="5" s="1"/>
  <c r="AX493" i="5"/>
  <c r="AY493" i="5" s="1"/>
  <c r="AX119" i="5"/>
  <c r="AY119" i="5" s="1"/>
  <c r="AX344" i="5"/>
  <c r="AY344" i="5" s="1"/>
  <c r="AX60" i="5"/>
  <c r="AY60" i="5" s="1"/>
  <c r="AX461" i="5"/>
  <c r="AY461" i="5" s="1"/>
  <c r="AX259" i="5"/>
  <c r="AY259" i="5" s="1"/>
  <c r="AX238" i="5"/>
  <c r="AY238" i="5" s="1"/>
  <c r="AX403" i="5"/>
  <c r="AY403" i="5" s="1"/>
  <c r="AX194" i="5"/>
  <c r="AY194" i="5" s="1"/>
  <c r="AX66" i="5"/>
  <c r="AY66" i="5" s="1"/>
  <c r="AX93" i="5"/>
  <c r="AY93" i="5" s="1"/>
  <c r="AX178" i="5"/>
  <c r="AY178" i="5" s="1"/>
  <c r="AX263" i="5"/>
  <c r="AY263" i="5" s="1"/>
  <c r="AX89" i="5"/>
  <c r="AY89" i="5" s="1"/>
  <c r="AX244" i="5"/>
  <c r="AY244" i="5" s="1"/>
  <c r="AX140" i="5"/>
  <c r="AY140" i="5" s="1"/>
  <c r="AX276" i="5"/>
  <c r="AY276" i="5" s="1"/>
  <c r="AX220" i="5"/>
  <c r="AY220" i="5" s="1"/>
  <c r="AX210" i="5"/>
  <c r="AY210" i="5" s="1"/>
  <c r="AX550" i="5"/>
  <c r="AY550" i="5" s="1"/>
  <c r="AX452" i="5"/>
  <c r="AY452" i="5" s="1"/>
  <c r="AX75" i="5"/>
  <c r="AY75" i="5" s="1"/>
  <c r="AX383" i="5"/>
  <c r="AY383" i="5" s="1"/>
  <c r="AX404" i="5"/>
  <c r="AY404" i="5" s="1"/>
  <c r="AX401" i="5"/>
  <c r="AY401" i="5" s="1"/>
  <c r="AX230" i="5"/>
  <c r="AY230" i="5" s="1"/>
  <c r="AX317" i="5"/>
  <c r="AY317" i="5" s="1"/>
  <c r="AX554" i="5"/>
  <c r="AY554" i="5" s="1"/>
  <c r="AX149" i="5"/>
  <c r="AY149" i="5" s="1"/>
  <c r="AX104" i="5"/>
  <c r="AY104" i="5" s="1"/>
  <c r="AX237" i="5"/>
  <c r="AY237" i="5" s="1"/>
  <c r="AX82" i="5"/>
  <c r="AY82" i="5" s="1"/>
  <c r="AX133" i="5"/>
  <c r="AY133" i="5" s="1"/>
  <c r="AX110" i="5"/>
  <c r="AY110" i="5" s="1"/>
  <c r="AX377" i="5"/>
  <c r="AY377" i="5" s="1"/>
  <c r="AX217" i="5"/>
  <c r="AY217" i="5" s="1"/>
  <c r="AX228" i="5"/>
  <c r="AY228" i="5" s="1"/>
  <c r="AX98" i="5"/>
  <c r="AY98" i="5" s="1"/>
  <c r="AX492" i="5"/>
  <c r="AY492" i="5" s="1"/>
  <c r="AX501" i="5"/>
  <c r="AY501" i="5" s="1"/>
  <c r="AX496" i="5"/>
  <c r="AY496" i="5" s="1"/>
  <c r="AX74" i="5"/>
  <c r="AY74" i="5" s="1"/>
  <c r="AX167" i="5"/>
  <c r="AY167" i="5" s="1"/>
  <c r="AX405" i="5"/>
  <c r="AY405" i="5" s="1"/>
  <c r="AX131" i="5"/>
  <c r="AY131" i="5" s="1"/>
  <c r="AX387" i="5"/>
  <c r="AY387" i="5" s="1"/>
  <c r="AX65" i="5"/>
  <c r="AY65" i="5" s="1"/>
  <c r="AX400" i="5"/>
  <c r="AY400" i="5" s="1"/>
  <c r="AX156" i="5"/>
  <c r="AY156" i="5" s="1"/>
  <c r="AX64" i="5"/>
  <c r="AY64" i="5" s="1"/>
  <c r="AX409" i="5"/>
  <c r="AY409" i="5" s="1"/>
  <c r="AX196" i="5"/>
  <c r="AY196" i="5" s="1"/>
  <c r="AX473" i="5"/>
  <c r="AY473" i="5" s="1"/>
  <c r="AX528" i="5"/>
  <c r="AY528" i="5" s="1"/>
  <c r="AO133" i="4"/>
  <c r="AR133" i="4" s="1"/>
  <c r="AT133" i="4" s="1"/>
  <c r="AX291" i="5"/>
  <c r="AY291" i="5" s="1"/>
  <c r="AX527" i="5"/>
  <c r="AY527" i="5" s="1"/>
  <c r="AR12" i="4"/>
  <c r="AT12" i="4" s="1"/>
  <c r="AX320" i="5"/>
  <c r="AY320" i="5" s="1"/>
  <c r="AX271" i="5"/>
  <c r="AY271" i="5" s="1"/>
  <c r="AX558" i="5"/>
  <c r="AY558" i="5" s="1"/>
  <c r="AX249" i="5"/>
  <c r="AY249" i="5" s="1"/>
  <c r="AX510" i="5"/>
  <c r="AY510" i="5" s="1"/>
  <c r="AX322" i="5"/>
  <c r="AY322" i="5" s="1"/>
  <c r="AG26" i="4"/>
  <c r="AI26" i="4" s="1"/>
  <c r="AO26" i="4"/>
  <c r="AX340" i="5"/>
  <c r="AY340" i="5" s="1"/>
  <c r="AX298" i="5"/>
  <c r="AY298" i="5" s="1"/>
  <c r="AK155" i="4"/>
  <c r="AA130" i="4"/>
  <c r="AC130" i="4" s="1"/>
  <c r="AD130" i="4" s="1"/>
  <c r="AA144" i="4"/>
  <c r="AC144" i="4" s="1"/>
  <c r="AD144" i="4" s="1"/>
  <c r="AA155" i="4"/>
  <c r="AC155" i="4" s="1"/>
  <c r="AD155" i="4" s="1"/>
  <c r="AX235" i="5"/>
  <c r="AY235" i="5" s="1"/>
  <c r="AX292" i="5"/>
  <c r="AY292" i="5" s="1"/>
  <c r="AX486" i="5"/>
  <c r="AY486" i="5" s="1"/>
  <c r="AX497" i="5"/>
  <c r="AY497" i="5" s="1"/>
  <c r="AX457" i="5"/>
  <c r="AY457" i="5" s="1"/>
  <c r="AR84" i="4"/>
  <c r="AT84" i="4" s="1"/>
  <c r="AR79" i="4"/>
  <c r="AT79" i="4" s="1"/>
  <c r="AK144" i="4"/>
  <c r="AX325" i="5"/>
  <c r="AY325" i="5" s="1"/>
  <c r="AG130" i="4"/>
  <c r="AI130" i="4" s="1"/>
  <c r="AO130" i="4"/>
  <c r="AO62" i="4"/>
  <c r="AG62" i="4"/>
  <c r="AI62" i="4" s="1"/>
  <c r="AG10" i="4"/>
  <c r="AI10" i="4" s="1"/>
  <c r="AO10" i="4"/>
  <c r="AK141" i="4"/>
  <c r="AF141" i="4"/>
  <c r="AO101" i="4"/>
  <c r="AG101" i="4"/>
  <c r="AI101" i="4" s="1"/>
  <c r="AG144" i="4"/>
  <c r="AI144" i="4" s="1"/>
  <c r="AO144" i="4"/>
  <c r="AG94" i="4"/>
  <c r="AI94" i="4" s="1"/>
  <c r="AO94" i="4"/>
  <c r="AO58" i="4"/>
  <c r="AG58" i="4"/>
  <c r="AI58" i="4" s="1"/>
  <c r="AK130" i="4"/>
  <c r="AR132" i="4"/>
  <c r="AT132" i="4" s="1"/>
  <c r="AG24" i="4"/>
  <c r="AI24" i="4" s="1"/>
  <c r="AO24" i="4"/>
  <c r="AR105" i="4"/>
  <c r="AT105" i="4" s="1"/>
  <c r="AO155" i="4"/>
  <c r="AG155" i="4"/>
  <c r="AI155" i="4" s="1"/>
  <c r="AR140" i="4"/>
  <c r="AT140" i="4" s="1"/>
  <c r="AG83" i="4"/>
  <c r="AI83" i="4" s="1"/>
  <c r="AO83" i="4"/>
  <c r="AG34" i="4"/>
  <c r="AI34" i="4" s="1"/>
  <c r="AO34" i="4"/>
  <c r="AG59" i="4"/>
  <c r="AI59" i="4" s="1"/>
  <c r="AO59" i="4"/>
  <c r="AG21" i="4"/>
  <c r="AI21" i="4" s="1"/>
  <c r="AO21" i="4"/>
  <c r="AX207" i="5"/>
  <c r="AY207" i="5" s="1"/>
  <c r="AX233" i="5"/>
  <c r="AY233" i="5" s="1"/>
  <c r="AR76" i="4"/>
  <c r="AT76" i="4" s="1"/>
  <c r="AX549" i="5"/>
  <c r="AY549" i="5" s="1"/>
  <c r="AX195" i="5"/>
  <c r="AY195" i="5" s="1"/>
  <c r="AX546" i="5"/>
  <c r="AY546" i="5" s="1"/>
  <c r="AX442" i="5"/>
  <c r="AY442" i="5" s="1"/>
  <c r="AR86" i="4"/>
  <c r="AT86" i="4" s="1"/>
  <c r="AR8" i="4"/>
  <c r="AT8" i="4" s="1"/>
  <c r="AX352" i="5"/>
  <c r="AY352" i="5" s="1"/>
  <c r="AX422" i="5"/>
  <c r="AY422" i="5" s="1"/>
  <c r="AX51" i="5"/>
  <c r="AY51" i="5" s="1"/>
  <c r="AX545" i="5"/>
  <c r="AY545" i="5" s="1"/>
  <c r="AX534" i="5"/>
  <c r="AY534" i="5" s="1"/>
  <c r="AX419" i="5"/>
  <c r="AY419" i="5" s="1"/>
  <c r="AX190" i="5"/>
  <c r="AY190" i="5" s="1"/>
  <c r="AX55" i="5"/>
  <c r="AY55" i="5" s="1"/>
  <c r="AX541" i="5"/>
  <c r="AY541" i="5" s="1"/>
  <c r="AX526" i="5"/>
  <c r="AY526" i="5" s="1"/>
  <c r="AX246" i="5"/>
  <c r="AY246" i="5" s="1"/>
  <c r="AX357" i="5"/>
  <c r="AY357" i="5" s="1"/>
  <c r="AX95" i="5"/>
  <c r="AY95" i="5" s="1"/>
  <c r="AX124" i="5"/>
  <c r="AY124" i="5" s="1"/>
  <c r="AX106" i="5"/>
  <c r="AY106" i="5" s="1"/>
  <c r="AX164" i="5"/>
  <c r="AY164" i="5" s="1"/>
  <c r="AX61" i="5"/>
  <c r="AY61" i="5" s="1"/>
  <c r="AX171" i="5"/>
  <c r="AY171" i="5" s="1"/>
  <c r="AX154" i="5"/>
  <c r="AY154" i="5" s="1"/>
  <c r="AX152" i="5"/>
  <c r="AY152" i="5" s="1"/>
  <c r="AX27" i="5"/>
  <c r="AY27" i="5" s="1"/>
  <c r="AX516" i="5"/>
  <c r="AY516" i="5" s="1"/>
  <c r="AX227" i="5"/>
  <c r="AY227" i="5" s="1"/>
  <c r="AX88" i="5"/>
  <c r="AY88" i="5" s="1"/>
  <c r="AX519" i="5"/>
  <c r="AY519" i="5" s="1"/>
  <c r="AX366" i="5"/>
  <c r="AY366" i="5" s="1"/>
  <c r="AX242" i="5"/>
  <c r="AY242" i="5" s="1"/>
  <c r="AX189" i="5"/>
  <c r="AY189" i="5" s="1"/>
  <c r="AX441" i="5"/>
  <c r="AY441" i="5" s="1"/>
  <c r="B128" i="2"/>
  <c r="B134" i="2" s="1"/>
  <c r="AX50" i="5"/>
  <c r="AY50" i="5" s="1"/>
  <c r="AX40" i="5"/>
  <c r="AY40" i="5" s="1"/>
  <c r="AX29" i="5"/>
  <c r="AY29" i="5" s="1"/>
  <c r="AX414" i="5"/>
  <c r="AY414" i="5" s="1"/>
  <c r="AX155" i="5"/>
  <c r="AY155" i="5" s="1"/>
  <c r="AX334" i="5"/>
  <c r="AY334" i="5" s="1"/>
  <c r="AX430" i="5"/>
  <c r="AY430" i="5" s="1"/>
  <c r="K142" i="2"/>
  <c r="B131" i="2"/>
  <c r="B132" i="2" s="1"/>
  <c r="AR20" i="4"/>
  <c r="AT20" i="4" s="1"/>
  <c r="AX530" i="5"/>
  <c r="AY530" i="5" s="1"/>
  <c r="AR23" i="4"/>
  <c r="AT23" i="4" s="1"/>
  <c r="AR135" i="4"/>
  <c r="AT135" i="4" s="1"/>
  <c r="AR109" i="4"/>
  <c r="AT109" i="4" s="1"/>
  <c r="AR127" i="4"/>
  <c r="AT127" i="4" s="1"/>
  <c r="AR38" i="4"/>
  <c r="AT38" i="4" s="1"/>
  <c r="AR39" i="4"/>
  <c r="AT39" i="4" s="1"/>
  <c r="AR100" i="4"/>
  <c r="AT100" i="4" s="1"/>
  <c r="AR95" i="4"/>
  <c r="AT95" i="4" s="1"/>
  <c r="AR52" i="4"/>
  <c r="AT52" i="4" s="1"/>
  <c r="AR157" i="4"/>
  <c r="AT157" i="4" s="1"/>
  <c r="AR47" i="4"/>
  <c r="AT47" i="4" s="1"/>
  <c r="AR64" i="4"/>
  <c r="AT64" i="4" s="1"/>
  <c r="AR116" i="4"/>
  <c r="AT116" i="4" s="1"/>
  <c r="AR128" i="4"/>
  <c r="AT128" i="4" s="1"/>
  <c r="AR14" i="4"/>
  <c r="AT14" i="4" s="1"/>
  <c r="AR148" i="4"/>
  <c r="AT148" i="4" s="1"/>
  <c r="AR63" i="4"/>
  <c r="AT63" i="4" s="1"/>
  <c r="AR7" i="4"/>
  <c r="AT7" i="4" s="1"/>
  <c r="AR77" i="4"/>
  <c r="AT77" i="4" s="1"/>
  <c r="AR126" i="4"/>
  <c r="AT126" i="4" s="1"/>
  <c r="AR69" i="4"/>
  <c r="AT69" i="4" s="1"/>
  <c r="AR150" i="4"/>
  <c r="AT150" i="4" s="1"/>
  <c r="AR137" i="4"/>
  <c r="AT137" i="4" s="1"/>
  <c r="AR93" i="4"/>
  <c r="AT93" i="4" s="1"/>
  <c r="AR134" i="4"/>
  <c r="AT134" i="4" s="1"/>
  <c r="AR73" i="4"/>
  <c r="AT73" i="4" s="1"/>
  <c r="AR26" i="4" l="1"/>
  <c r="AT26" i="4" s="1"/>
  <c r="AR59" i="4"/>
  <c r="AT59" i="4" s="1"/>
  <c r="AR94" i="4"/>
  <c r="AT94" i="4" s="1"/>
  <c r="AR10" i="4"/>
  <c r="AT10" i="4" s="1"/>
  <c r="AR34" i="4"/>
  <c r="AT34" i="4" s="1"/>
  <c r="AR24" i="4"/>
  <c r="AT24" i="4" s="1"/>
  <c r="AR144" i="4"/>
  <c r="AT144" i="4" s="1"/>
  <c r="AR155" i="4"/>
  <c r="AT155" i="4" s="1"/>
  <c r="AR130" i="4"/>
  <c r="AT130" i="4" s="1"/>
  <c r="AR21" i="4"/>
  <c r="AT21" i="4" s="1"/>
  <c r="AG141" i="4"/>
  <c r="AI141" i="4" s="1"/>
  <c r="AO141" i="4"/>
  <c r="AR58" i="4"/>
  <c r="AT58" i="4" s="1"/>
  <c r="AR62" i="4"/>
  <c r="AT62" i="4" s="1"/>
  <c r="AR83" i="4"/>
  <c r="AT83" i="4" s="1"/>
  <c r="AR101" i="4"/>
  <c r="AT101" i="4" s="1"/>
  <c r="AY14" i="5"/>
  <c r="D69" i="5" s="1"/>
  <c r="B69" i="5" s="1"/>
  <c r="A69" i="5" s="1"/>
  <c r="L68" i="1" s="1"/>
  <c r="K136" i="2"/>
  <c r="B136" i="2" s="1"/>
  <c r="H31" i="1" s="1"/>
  <c r="AY12" i="5"/>
  <c r="D68" i="5" s="1"/>
  <c r="B68" i="5" s="1"/>
  <c r="A68" i="5" s="1"/>
  <c r="L67" i="1" s="1"/>
  <c r="B135" i="2"/>
  <c r="H30" i="1" s="1"/>
  <c r="AR141" i="4" l="1"/>
  <c r="AT14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BMC-BCS</author>
    <author>Schauer, Stefan</author>
  </authors>
  <commentList>
    <comment ref="A3" authorId="0" shapeId="0" xr:uid="{00000000-0006-0000-0000-000001000000}">
      <text>
        <r>
          <rPr>
            <b/>
            <sz val="11"/>
            <color indexed="10"/>
            <rFont val="Tahoma"/>
            <family val="2"/>
          </rPr>
          <t>Welcome to the LM5155 Design Tool</t>
        </r>
        <r>
          <rPr>
            <sz val="9"/>
            <color indexed="81"/>
            <rFont val="Tahoma"/>
            <family val="2"/>
          </rPr>
          <t xml:space="preserve">
This stand-alone tool facilitates and assists the power supply engineer with design of a DC-DC boost converter based on the LM5155 boost controller. As such, the user can expeditiously arrive at an optimized design by virtue of the following:
- Select components
- Optimize compensation values and pole/zero placement in terms of control loop stability using crossover frquency as a performance metric
- Inspect regulator efficiency and component power dissipation
- Analyze efficiency based on selected MOSFET, inductor and diode parameters
Note: When not using an english Excel version and a #name error is displayed after change a value try pressing Shift+ALT+CTRL+F9 and change the value again.
IMPORTANT: You must enable macros if Microsoft Excel asks as the file is being opened. U.S. English notation is used throughout. Make sure to input or select values in all of the yellow shaded cells even if a value already exists in that cell. Do not over write equations in cells, as this may result in calculation errors.
</t>
        </r>
      </text>
    </comment>
    <comment ref="G7" authorId="0" shapeId="0" xr:uid="{00000000-0006-0000-0000-000003000000}">
      <text>
        <r>
          <rPr>
            <b/>
            <sz val="9"/>
            <color indexed="81"/>
            <rFont val="Tahoma"/>
            <family val="2"/>
          </rPr>
          <t xml:space="preserve">Minimum Input Voltage:
</t>
        </r>
        <r>
          <rPr>
            <sz val="9"/>
            <color indexed="81"/>
            <rFont val="Tahoma"/>
            <family val="2"/>
          </rPr>
          <t>Enter the minimum operating input voltage.
The LM5155 BIAS pin voltage operating range is 3.5V to 45V.
The LM5156 BIAS pin voltage operating range is 3.5V to 60V.
If low voltage operation is required the BIAS pin can be supplied with V</t>
        </r>
        <r>
          <rPr>
            <vertAlign val="subscript"/>
            <sz val="9"/>
            <color indexed="81"/>
            <rFont val="Tahoma"/>
            <family val="2"/>
          </rPr>
          <t>OUT</t>
        </r>
        <r>
          <rPr>
            <sz val="9"/>
            <color indexed="81"/>
            <rFont val="Tahoma"/>
            <family val="2"/>
          </rPr>
          <t xml:space="preserve"> extending operation to 1.5V</t>
        </r>
        <r>
          <rPr>
            <b/>
            <sz val="9"/>
            <color indexed="81"/>
            <rFont val="Tahoma"/>
            <family val="2"/>
          </rPr>
          <t xml:space="preserve">
</t>
        </r>
        <r>
          <rPr>
            <b/>
            <sz val="9"/>
            <color indexed="52"/>
            <rFont val="Tahoma"/>
            <family val="2"/>
          </rPr>
          <t>The text in the cell is flagged orange if:</t>
        </r>
        <r>
          <rPr>
            <b/>
            <sz val="9"/>
            <color indexed="81"/>
            <rFont val="Tahoma"/>
            <family val="2"/>
          </rPr>
          <t xml:space="preserve">
</t>
        </r>
        <r>
          <rPr>
            <sz val="9"/>
            <color indexed="81"/>
            <rFont val="Tahoma"/>
            <family val="2"/>
          </rPr>
          <t>-The input voltage is above 45V</t>
        </r>
        <r>
          <rPr>
            <b/>
            <sz val="9"/>
            <color indexed="81"/>
            <rFont val="Tahoma"/>
            <family val="2"/>
          </rPr>
          <t xml:space="preserve">
</t>
        </r>
        <r>
          <rPr>
            <b/>
            <sz val="9"/>
            <color indexed="10"/>
            <rFont val="Tahoma"/>
            <family val="2"/>
          </rPr>
          <t>The text in the cell is flagged red if:</t>
        </r>
        <r>
          <rPr>
            <b/>
            <sz val="9"/>
            <color indexed="81"/>
            <rFont val="Tahoma"/>
            <family val="2"/>
          </rPr>
          <t xml:space="preserve">
</t>
        </r>
        <r>
          <rPr>
            <sz val="9"/>
            <color indexed="81"/>
            <rFont val="Tahoma"/>
            <family val="2"/>
          </rPr>
          <t>-The input voltage is above 60V
-The input voltage is below 1.5V</t>
        </r>
      </text>
    </comment>
    <comment ref="G8" authorId="0" shapeId="0" xr:uid="{00000000-0006-0000-0000-000004000000}">
      <text>
        <r>
          <rPr>
            <b/>
            <sz val="9"/>
            <color indexed="81"/>
            <rFont val="Tahoma"/>
            <family val="2"/>
          </rPr>
          <t xml:space="preserve">Nominal Input Voltage:
</t>
        </r>
        <r>
          <rPr>
            <sz val="9"/>
            <color indexed="81"/>
            <rFont val="Tahoma"/>
            <family val="2"/>
          </rPr>
          <t>Enter the nominal operating input voltage.
The LM5155 input voltage operating range is 1.5V to 45V.</t>
        </r>
        <r>
          <rPr>
            <b/>
            <sz val="9"/>
            <color indexed="81"/>
            <rFont val="Tahoma"/>
            <family val="2"/>
          </rPr>
          <t xml:space="preserve">
</t>
        </r>
        <r>
          <rPr>
            <sz val="9"/>
            <color indexed="81"/>
            <rFont val="Tahoma"/>
            <family val="2"/>
          </rPr>
          <t xml:space="preserve">The LM5156 input voltage operating range is 1.5V to 60V.
</t>
        </r>
        <r>
          <rPr>
            <b/>
            <sz val="9"/>
            <color indexed="81"/>
            <rFont val="Tahoma"/>
            <family val="2"/>
          </rPr>
          <t xml:space="preserve">
</t>
        </r>
        <r>
          <rPr>
            <b/>
            <sz val="9"/>
            <color indexed="10"/>
            <rFont val="Tahoma"/>
            <family val="2"/>
          </rPr>
          <t>The text in the cell is flagged red if:</t>
        </r>
        <r>
          <rPr>
            <b/>
            <sz val="9"/>
            <color indexed="81"/>
            <rFont val="Tahoma"/>
            <family val="2"/>
          </rPr>
          <t xml:space="preserve">
</t>
        </r>
        <r>
          <rPr>
            <sz val="9"/>
            <color indexed="81"/>
            <rFont val="Tahoma"/>
            <family val="2"/>
          </rPr>
          <t>-The input voltage is above V</t>
        </r>
        <r>
          <rPr>
            <vertAlign val="subscript"/>
            <sz val="9"/>
            <color indexed="81"/>
            <rFont val="Tahoma"/>
            <family val="2"/>
          </rPr>
          <t>SUPPLY</t>
        </r>
        <r>
          <rPr>
            <sz val="9"/>
            <color indexed="81"/>
            <rFont val="Tahoma"/>
            <family val="2"/>
          </rPr>
          <t>(max)
-The input voltage is below V</t>
        </r>
        <r>
          <rPr>
            <vertAlign val="subscript"/>
            <sz val="9"/>
            <color indexed="81"/>
            <rFont val="Tahoma"/>
            <family val="2"/>
          </rPr>
          <t>SUPPLY</t>
        </r>
        <r>
          <rPr>
            <sz val="9"/>
            <color indexed="81"/>
            <rFont val="Tahoma"/>
            <family val="2"/>
          </rPr>
          <t>(min)</t>
        </r>
      </text>
    </comment>
    <comment ref="G9" authorId="0" shapeId="0" xr:uid="{00000000-0006-0000-0000-000005000000}">
      <text>
        <r>
          <rPr>
            <b/>
            <sz val="9"/>
            <color indexed="81"/>
            <rFont val="Tahoma"/>
            <family val="2"/>
          </rPr>
          <t>Maximum Input Voltage:</t>
        </r>
        <r>
          <rPr>
            <sz val="9"/>
            <color indexed="81"/>
            <rFont val="Tahoma"/>
            <family val="2"/>
          </rPr>
          <t xml:space="preserve">
Enter the maximum operating input voltage.
The LM5155 input voltage operating range is 1.5V to 45V.
The LM5156 input voltage operating range is 1.5V to 60V.
</t>
        </r>
        <r>
          <rPr>
            <b/>
            <sz val="9"/>
            <color indexed="10"/>
            <rFont val="Tahoma"/>
            <family val="2"/>
          </rPr>
          <t xml:space="preserve">
</t>
        </r>
        <r>
          <rPr>
            <b/>
            <sz val="9"/>
            <color indexed="52"/>
            <rFont val="Tahoma"/>
            <family val="2"/>
          </rPr>
          <t>The text in the cell is flagged orange if:</t>
        </r>
        <r>
          <rPr>
            <b/>
            <sz val="9"/>
            <color indexed="10"/>
            <rFont val="Tahoma"/>
            <family val="2"/>
          </rPr>
          <t xml:space="preserve">
</t>
        </r>
        <r>
          <rPr>
            <sz val="9"/>
            <color indexed="81"/>
            <rFont val="Tahoma"/>
            <family val="2"/>
          </rPr>
          <t>-The input voltage is above 45V</t>
        </r>
        <r>
          <rPr>
            <b/>
            <sz val="9"/>
            <color indexed="10"/>
            <rFont val="Tahoma"/>
            <family val="2"/>
          </rPr>
          <t xml:space="preserve">
The text in the cell is flagged red if:</t>
        </r>
        <r>
          <rPr>
            <sz val="9"/>
            <color indexed="81"/>
            <rFont val="Tahoma"/>
            <family val="2"/>
          </rPr>
          <t xml:space="preserve">
-The input voltage is above 60V
-The input voltage is below 1.5V
</t>
        </r>
      </text>
    </comment>
    <comment ref="G10" authorId="0" shapeId="0" xr:uid="{00000000-0006-0000-0000-000006000000}">
      <text>
        <r>
          <rPr>
            <b/>
            <sz val="9"/>
            <color indexed="81"/>
            <rFont val="Tahoma"/>
            <family val="2"/>
          </rPr>
          <t>Output Voltage:</t>
        </r>
        <r>
          <rPr>
            <sz val="9"/>
            <color indexed="81"/>
            <rFont val="Tahoma"/>
            <family val="2"/>
          </rPr>
          <t xml:space="preserve">
Enter the desired output voltage.
</t>
        </r>
      </text>
    </comment>
    <comment ref="G12" authorId="0" shapeId="0" xr:uid="{00000000-0006-0000-0000-000007000000}">
      <text>
        <r>
          <rPr>
            <b/>
            <sz val="9"/>
            <color indexed="81"/>
            <rFont val="Tahoma"/>
            <family val="2"/>
          </rPr>
          <t>Operating Frequency (set by RT):</t>
        </r>
        <r>
          <rPr>
            <sz val="9"/>
            <color indexed="81"/>
            <rFont val="Tahoma"/>
            <family val="2"/>
          </rPr>
          <t xml:space="preserve">
This cell defines the free-running switching frequency set by the RT resistor. 
</t>
        </r>
        <r>
          <rPr>
            <sz val="11"/>
            <color indexed="10"/>
            <rFont val="Calibri"/>
            <family val="2"/>
            <scheme val="minor"/>
          </rPr>
          <t>The text in the cell is flagged red if:</t>
        </r>
        <r>
          <rPr>
            <sz val="9"/>
            <color indexed="81"/>
            <rFont val="Tahoma"/>
            <family val="2"/>
          </rPr>
          <t xml:space="preserve">
-The frequency is below 100 kHz
-The frequency is above 2.2 MHz</t>
        </r>
      </text>
    </comment>
    <comment ref="G14" authorId="0" shapeId="0" xr:uid="{00000000-0006-0000-0000-000008000000}">
      <text>
        <r>
          <rPr>
            <b/>
            <sz val="9"/>
            <color indexed="81"/>
            <rFont val="Tahoma"/>
            <family val="2"/>
          </rPr>
          <t xml:space="preserve">Estimated Efficiency
</t>
        </r>
        <r>
          <rPr>
            <sz val="9"/>
            <color indexed="81"/>
            <rFont val="Tahoma"/>
            <family val="2"/>
          </rPr>
          <t>A good estimate at full load current and Vsupply(min) is around the 90% to 93% range</t>
        </r>
      </text>
    </comment>
    <comment ref="G16" authorId="0" shapeId="0" xr:uid="{00000000-0006-0000-0000-000009000000}">
      <text>
        <r>
          <rPr>
            <b/>
            <sz val="9"/>
            <color indexed="81"/>
            <rFont val="Tahoma"/>
            <family val="2"/>
          </rPr>
          <t xml:space="preserve">Maximum duty cycle
</t>
        </r>
        <r>
          <rPr>
            <sz val="9"/>
            <color indexed="81"/>
            <rFont val="Tahoma"/>
            <family val="2"/>
          </rPr>
          <t xml:space="preserve">Limit of the LM5155. See the datasheet for more detail on how the maximum duty cycle changes with switching frequency
</t>
        </r>
      </text>
    </comment>
    <comment ref="G17" authorId="1" shapeId="0" xr:uid="{08B8E066-477C-411E-B516-1DCAD11E8DA9}">
      <text>
        <r>
          <rPr>
            <b/>
            <sz val="9"/>
            <color indexed="81"/>
            <rFont val="Tahoma"/>
            <family val="2"/>
          </rPr>
          <t xml:space="preserve">Ideal Duty Cycle at Vsupply(MIN):
</t>
        </r>
        <r>
          <rPr>
            <sz val="9"/>
            <color indexed="81"/>
            <rFont val="Tahoma"/>
            <family val="2"/>
          </rPr>
          <t xml:space="preserve">
Calculated with  1- (VIN_min/VOUT). 
</t>
        </r>
        <r>
          <rPr>
            <b/>
            <sz val="9"/>
            <color indexed="10"/>
            <rFont val="Tahoma"/>
            <family val="2"/>
          </rPr>
          <t xml:space="preserve">The text in the cell is flagged red if:
</t>
        </r>
        <r>
          <rPr>
            <sz val="9"/>
            <color indexed="81"/>
            <rFont val="Tahoma"/>
            <family val="2"/>
          </rPr>
          <t xml:space="preserve">- The duty cycle is above the Limit value (in the cell above)
  Based on the limits given in the datasheet
</t>
        </r>
      </text>
    </comment>
    <comment ref="G18" authorId="1" shapeId="0" xr:uid="{74A21C24-1F16-4017-9418-3CDE4814AE31}">
      <text>
        <r>
          <rPr>
            <b/>
            <sz val="9"/>
            <color indexed="81"/>
            <rFont val="Tahoma"/>
            <family val="2"/>
          </rPr>
          <t xml:space="preserve">Select the Operation mode:
</t>
        </r>
        <r>
          <rPr>
            <sz val="9"/>
            <color indexed="81"/>
            <rFont val="Tahoma"/>
            <family val="2"/>
          </rPr>
          <t xml:space="preserve">Select the operation mode at maximum load:
CCM: Continious Contuction Mode
DCM: Discontinious Contuction Mode
</t>
        </r>
      </text>
    </comment>
    <comment ref="G21" authorId="0" shapeId="0" xr:uid="{00000000-0006-0000-0000-00000A000000}">
      <text>
        <r>
          <rPr>
            <b/>
            <sz val="9"/>
            <color indexed="81"/>
            <rFont val="Tahoma"/>
            <family val="2"/>
          </rPr>
          <t>Ripple Ratio</t>
        </r>
        <r>
          <rPr>
            <sz val="9"/>
            <color indexed="81"/>
            <rFont val="Tahoma"/>
            <family val="2"/>
          </rPr>
          <t xml:space="preserve">
Select the maximum ripple ratio of the inductor current. The maximum ripple ratio occurs when the duty cycle is 33%. 
Typically a good maximum ripple current is in the 50% to 70% range. In this range there is a good trade off between efficiency and the minimum RHP zero frequency of the plant</t>
        </r>
      </text>
    </comment>
    <comment ref="G23" authorId="0" shapeId="0" xr:uid="{00000000-0006-0000-0000-00000B000000}">
      <text>
        <r>
          <rPr>
            <b/>
            <sz val="9"/>
            <color indexed="81"/>
            <rFont val="Tahoma"/>
            <family val="2"/>
          </rPr>
          <t xml:space="preserve">Filter Inductance:
</t>
        </r>
        <r>
          <rPr>
            <sz val="9"/>
            <color indexed="81"/>
            <rFont val="Tahoma"/>
            <family val="2"/>
          </rPr>
          <t xml:space="preserve">Enter the filter inductance here.
</t>
        </r>
        <r>
          <rPr>
            <b/>
            <sz val="9"/>
            <color indexed="10"/>
            <rFont val="Tahoma"/>
            <family val="2"/>
          </rPr>
          <t xml:space="preserve">The text in the cell is flagged red if:
</t>
        </r>
        <r>
          <rPr>
            <sz val="9"/>
            <color indexed="81"/>
            <rFont val="Tahoma"/>
            <family val="2"/>
          </rPr>
          <t xml:space="preserve">The selected inductance will not be supported the above set operation mode at maximum load.
(Checked only at the 3 given Supply Voltages (Min/Nom/Max).
</t>
        </r>
      </text>
    </comment>
    <comment ref="G24" authorId="0" shapeId="0" xr:uid="{00000000-0006-0000-0000-00000C000000}">
      <text>
        <r>
          <rPr>
            <b/>
            <sz val="9"/>
            <color indexed="81"/>
            <rFont val="Tahoma"/>
            <family val="2"/>
          </rPr>
          <t xml:space="preserve">Inductor DCR:
</t>
        </r>
        <r>
          <rPr>
            <sz val="9"/>
            <color indexed="81"/>
            <rFont val="Tahoma"/>
            <family val="2"/>
          </rPr>
          <t xml:space="preserve">Enter the inductor DC resistance here. This is typically specified in the inductor datasheet at 25°C copper temperature.
</t>
        </r>
      </text>
    </comment>
    <comment ref="G25" authorId="0" shapeId="0" xr:uid="{00000000-0006-0000-0000-00000D000000}">
      <text>
        <r>
          <rPr>
            <b/>
            <sz val="9"/>
            <color indexed="81"/>
            <rFont val="Tahoma"/>
            <family val="2"/>
          </rPr>
          <t>Peak Inductor Current</t>
        </r>
        <r>
          <rPr>
            <sz val="9"/>
            <color indexed="81"/>
            <rFont val="Tahoma"/>
            <family val="2"/>
          </rPr>
          <t xml:space="preserve">
Maximum peak inductor current during normal operation.  The peak current limit calculations are based on this value</t>
        </r>
      </text>
    </comment>
    <comment ref="G28" authorId="0" shapeId="0" xr:uid="{00000000-0006-0000-0000-00000E000000}">
      <text>
        <r>
          <rPr>
            <b/>
            <sz val="9"/>
            <color indexed="81"/>
            <rFont val="Tahoma"/>
            <family val="2"/>
          </rPr>
          <t>Peak Current Limit Margin</t>
        </r>
        <r>
          <rPr>
            <sz val="9"/>
            <color indexed="81"/>
            <rFont val="Tahoma"/>
            <family val="2"/>
          </rPr>
          <t xml:space="preserve">
Margin above the calculated peak inductor current. Margin must be given to allow for load transients and component tolerances.
Value should be higher then 15% to avoid false triggers.
The recommended value from the Datasheet is 20%.</t>
        </r>
      </text>
    </comment>
    <comment ref="G29" authorId="0" shapeId="0" xr:uid="{00000000-0006-0000-0000-00000F000000}">
      <text>
        <r>
          <rPr>
            <b/>
            <sz val="9"/>
            <color indexed="81"/>
            <rFont val="Tahoma"/>
            <family val="2"/>
          </rPr>
          <t xml:space="preserve">Selected Peak Inductor Current Limt
</t>
        </r>
        <r>
          <rPr>
            <sz val="9"/>
            <color indexed="81"/>
            <rFont val="Tahoma"/>
            <family val="2"/>
          </rPr>
          <t xml:space="preserve">
Peak inductor current limit based on the margin and the steady state peak inductor current at V</t>
        </r>
        <r>
          <rPr>
            <vertAlign val="subscript"/>
            <sz val="9"/>
            <color indexed="81"/>
            <rFont val="Tahoma"/>
            <family val="2"/>
          </rPr>
          <t>IN_MIN</t>
        </r>
        <r>
          <rPr>
            <sz val="9"/>
            <color indexed="81"/>
            <rFont val="Tahoma"/>
            <family val="2"/>
          </rPr>
          <t xml:space="preserve"> and maximum output current</t>
        </r>
      </text>
    </comment>
    <comment ref="G30" authorId="0" shapeId="0" xr:uid="{00000000-0006-0000-0000-000010000000}">
      <text>
        <r>
          <rPr>
            <b/>
            <sz val="9"/>
            <color indexed="81"/>
            <rFont val="Tahoma"/>
            <family val="2"/>
          </rPr>
          <t>Current Sense Resistor Calculation</t>
        </r>
        <r>
          <rPr>
            <sz val="9"/>
            <color indexed="81"/>
            <rFont val="Tahoma"/>
            <family val="2"/>
          </rPr>
          <t xml:space="preserve">
Calculated current sense resistor based on the desired maximum peak current limit. 
</t>
        </r>
      </text>
    </comment>
    <comment ref="G31" authorId="0" shapeId="0" xr:uid="{00000000-0006-0000-0000-000011000000}">
      <text>
        <r>
          <rPr>
            <b/>
            <sz val="9"/>
            <color indexed="81"/>
            <rFont val="Tahoma"/>
            <family val="2"/>
          </rPr>
          <t>Calculated External Slope Compensation Resistor</t>
        </r>
        <r>
          <rPr>
            <sz val="9"/>
            <color indexed="81"/>
            <rFont val="Tahoma"/>
            <family val="2"/>
          </rPr>
          <t xml:space="preserve">
Calculated external slope compensation resistor based on the desired maximum peak current limit. 
</t>
        </r>
      </text>
    </comment>
    <comment ref="G35" authorId="0" shapeId="0" xr:uid="{00000000-0006-0000-0000-000013000000}">
      <text>
        <r>
          <rPr>
            <b/>
            <sz val="9"/>
            <color indexed="81"/>
            <rFont val="Tahoma"/>
            <family val="2"/>
          </rPr>
          <t>The saturation current of the inductor must be higher than the peak inductor current limint. 
Recommended Margin is ~15%</t>
        </r>
      </text>
    </comment>
    <comment ref="G38" authorId="1" shapeId="0" xr:uid="{34A1C02D-A92A-4231-935A-D27CE25D0CCD}">
      <text>
        <r>
          <rPr>
            <b/>
            <sz val="9"/>
            <color indexed="81"/>
            <rFont val="Tahoma"/>
            <family val="2"/>
          </rPr>
          <t xml:space="preserve">Peak to Peak Voltage Ripple
</t>
        </r>
        <r>
          <rPr>
            <sz val="9"/>
            <color indexed="81"/>
            <rFont val="Tahoma"/>
            <family val="2"/>
          </rPr>
          <t>Desired output voltage transient for 50% load to 100% load step.</t>
        </r>
      </text>
    </comment>
    <comment ref="G45" authorId="1" shapeId="0" xr:uid="{27BE2E58-6B05-4EB2-ACEC-FABDB0D92520}">
      <text>
        <r>
          <rPr>
            <b/>
            <sz val="9"/>
            <color indexed="81"/>
            <rFont val="Tahoma"/>
            <family val="2"/>
          </rPr>
          <t xml:space="preserve">Suggested min. Softstart Capacitor
</t>
        </r>
        <r>
          <rPr>
            <sz val="9"/>
            <color indexed="81"/>
            <rFont val="Tahoma"/>
            <family val="2"/>
          </rPr>
          <t xml:space="preserve">
The suggested min. Softstart Capacitor is set to avoid overshoot of the output voltage.
It is based on the Load Current and Output Capacitor.
</t>
        </r>
      </text>
    </comment>
    <comment ref="G57" authorId="0" shapeId="0" xr:uid="{00000000-0006-0000-0000-000014000000}">
      <text>
        <r>
          <rPr>
            <b/>
            <sz val="9"/>
            <color indexed="81"/>
            <rFont val="Tahoma"/>
            <family val="2"/>
          </rPr>
          <t xml:space="preserve">Changes the input voltage value. Allow for evaluation of the control loop and efficiency at different input voltages.
</t>
        </r>
        <r>
          <rPr>
            <b/>
            <sz val="9"/>
            <color indexed="10"/>
            <rFont val="Tahoma"/>
            <family val="2"/>
          </rPr>
          <t>The text in the cell is flagged red if:
-The variable input voltage is less than the minimum input voltage
-The variable input voltage is greater than the maximum input voltage</t>
        </r>
      </text>
    </comment>
    <comment ref="G62" authorId="1" shapeId="0" xr:uid="{CAA0D2B2-1619-4A36-A8E5-8EF89AE0C27B}">
      <text>
        <r>
          <rPr>
            <b/>
            <sz val="9"/>
            <color indexed="81"/>
            <rFont val="Tahoma"/>
            <family val="2"/>
          </rPr>
          <t>Select Bottomresistor R</t>
        </r>
        <r>
          <rPr>
            <b/>
            <sz val="8"/>
            <color indexed="81"/>
            <rFont val="Tahoma"/>
            <family val="2"/>
          </rPr>
          <t>FBB</t>
        </r>
        <r>
          <rPr>
            <b/>
            <sz val="9"/>
            <color indexed="81"/>
            <rFont val="Tahoma"/>
            <family val="2"/>
          </rPr>
          <t xml:space="preserve">
</t>
        </r>
        <r>
          <rPr>
            <sz val="9"/>
            <color indexed="81"/>
            <rFont val="Tahoma"/>
            <family val="2"/>
          </rPr>
          <t xml:space="preserve">
Select the closes value to the calculated bottom feedback resistor based on the used standard resistor series (e.g. E48).</t>
        </r>
      </text>
    </comment>
    <comment ref="F69" authorId="1" shapeId="0" xr:uid="{CA3EAB78-A137-4F5E-A063-15FB6763AD4F}">
      <text>
        <r>
          <rPr>
            <b/>
            <sz val="9"/>
            <color indexed="81"/>
            <rFont val="Tahoma"/>
            <family val="2"/>
          </rPr>
          <t xml:space="preserve">Calculated Loop Comenstation Values:
</t>
        </r>
        <r>
          <rPr>
            <sz val="9"/>
            <color indexed="81"/>
            <rFont val="Tahoma"/>
            <family val="2"/>
          </rPr>
          <t xml:space="preserve">The calculation of this loop compensation values are based on the selected bandwidth (Fco) and the minimum input Voltage Vin.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K21" authorId="0" shapeId="0" xr:uid="{00000000-0006-0000-0100-000001000000}">
      <text>
        <r>
          <rPr>
            <b/>
            <sz val="9"/>
            <color indexed="81"/>
            <rFont val="Tahoma"/>
            <family val="2"/>
          </rPr>
          <t>Forced off time limit? 
[2 True, 1 False]</t>
        </r>
        <r>
          <rPr>
            <sz val="9"/>
            <color indexed="81"/>
            <rFont val="Tahoma"/>
            <family val="2"/>
          </rPr>
          <t xml:space="preserve">
</t>
        </r>
      </text>
    </comment>
    <comment ref="K141" authorId="0" shapeId="0" xr:uid="{00000000-0006-0000-0100-000002000000}">
      <text>
        <r>
          <rPr>
            <b/>
            <sz val="9"/>
            <color indexed="81"/>
            <rFont val="Tahoma"/>
            <family val="2"/>
          </rPr>
          <t xml:space="preserve">Slope Compensation flag. If this flag is tripped there is not enough slope compensation. Double check the calculated values
</t>
        </r>
        <r>
          <rPr>
            <sz val="9"/>
            <color indexed="81"/>
            <rFont val="Tahoma"/>
            <family val="2"/>
          </rPr>
          <t xml:space="preserve">
</t>
        </r>
      </text>
    </comment>
    <comment ref="K142" authorId="0" shapeId="0" xr:uid="{00000000-0006-0000-0100-000003000000}">
      <text>
        <r>
          <rPr>
            <sz val="9"/>
            <color indexed="81"/>
            <rFont val="Tahoma"/>
            <family val="2"/>
          </rPr>
          <t xml:space="preserve">Tripped if the current sense resistor results in a lower current limit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V6" authorId="0" shapeId="0" xr:uid="{00000000-0006-0000-0200-000001000000}">
      <text>
        <r>
          <rPr>
            <b/>
            <sz val="9"/>
            <color indexed="81"/>
            <rFont val="Tahoma"/>
            <family val="2"/>
          </rPr>
          <t xml:space="preserve">1 = DCM operation
2 = CCM operation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O18" authorId="0" shapeId="0" xr:uid="{00000000-0006-0000-0300-000001000000}">
      <text>
        <r>
          <rPr>
            <b/>
            <sz val="9"/>
            <color indexed="81"/>
            <rFont val="Tahoma"/>
            <family val="2"/>
          </rPr>
          <t>BMC-BCS:</t>
        </r>
        <r>
          <rPr>
            <sz val="9"/>
            <color indexed="81"/>
            <rFont val="Tahoma"/>
            <family val="2"/>
          </rPr>
          <t xml:space="preserve">
Need to make this log not linear at some point
</t>
        </r>
      </text>
    </comment>
  </commentList>
</comments>
</file>

<file path=xl/sharedStrings.xml><?xml version="1.0" encoding="utf-8"?>
<sst xmlns="http://schemas.openxmlformats.org/spreadsheetml/2006/main" count="987" uniqueCount="582">
  <si>
    <t>TERMS OF USE</t>
  </si>
  <si>
    <t>ABOUT</t>
  </si>
  <si>
    <t>=Input Box</t>
  </si>
  <si>
    <t>Step 1: Design Specifications</t>
  </si>
  <si>
    <r>
      <t>Minimum Input Supply Voltage , V</t>
    </r>
    <r>
      <rPr>
        <vertAlign val="subscript"/>
        <sz val="10"/>
        <color theme="1"/>
        <rFont val="Calibri"/>
        <family val="2"/>
        <scheme val="minor"/>
      </rPr>
      <t>SUPPLY(min)</t>
    </r>
    <r>
      <rPr>
        <sz val="10"/>
        <color theme="1"/>
        <rFont val="Calibri"/>
        <family val="2"/>
        <scheme val="minor"/>
      </rPr>
      <t xml:space="preserve"> </t>
    </r>
  </si>
  <si>
    <r>
      <t>Typical Input Supply Voltage, V</t>
    </r>
    <r>
      <rPr>
        <vertAlign val="subscript"/>
        <sz val="10"/>
        <color theme="1"/>
        <rFont val="Calibri"/>
        <family val="2"/>
        <scheme val="minor"/>
      </rPr>
      <t>SUPPLY(typ)</t>
    </r>
    <r>
      <rPr>
        <sz val="10"/>
        <color theme="1"/>
        <rFont val="Calibri"/>
        <family val="2"/>
        <scheme val="minor"/>
      </rPr>
      <t xml:space="preserve"> </t>
    </r>
  </si>
  <si>
    <r>
      <t>Maximum Input Supply Voltage , V</t>
    </r>
    <r>
      <rPr>
        <vertAlign val="subscript"/>
        <sz val="10"/>
        <color theme="1"/>
        <rFont val="Calibri"/>
        <family val="2"/>
        <scheme val="minor"/>
      </rPr>
      <t>SUPPLY(max)</t>
    </r>
    <r>
      <rPr>
        <sz val="10"/>
        <color theme="1"/>
        <rFont val="Calibri"/>
        <family val="2"/>
        <scheme val="minor"/>
      </rPr>
      <t xml:space="preserve"> </t>
    </r>
  </si>
  <si>
    <r>
      <t>Maximum Output Current , I</t>
    </r>
    <r>
      <rPr>
        <vertAlign val="subscript"/>
        <sz val="10"/>
        <color theme="1"/>
        <rFont val="Calibri"/>
        <family val="2"/>
        <scheme val="minor"/>
      </rPr>
      <t>LOAD</t>
    </r>
    <r>
      <rPr>
        <sz val="10"/>
        <color theme="1"/>
        <rFont val="Calibri"/>
        <family val="2"/>
        <scheme val="minor"/>
      </rPr>
      <t xml:space="preserve"> </t>
    </r>
  </si>
  <si>
    <r>
      <t>Free Running Switching Frequency, F</t>
    </r>
    <r>
      <rPr>
        <vertAlign val="subscript"/>
        <sz val="10"/>
        <color theme="1"/>
        <rFont val="Calibri"/>
        <family val="2"/>
        <scheme val="minor"/>
      </rPr>
      <t>SW</t>
    </r>
  </si>
  <si>
    <t>Estimated Efficiency</t>
  </si>
  <si>
    <t>V</t>
  </si>
  <si>
    <t>A</t>
  </si>
  <si>
    <t>kHz</t>
  </si>
  <si>
    <t>%</t>
  </si>
  <si>
    <r>
      <t>Output Power, P</t>
    </r>
    <r>
      <rPr>
        <vertAlign val="subscript"/>
        <sz val="10"/>
        <color theme="1"/>
        <rFont val="Calibri"/>
        <family val="2"/>
        <scheme val="minor"/>
      </rPr>
      <t>OUT</t>
    </r>
    <r>
      <rPr>
        <sz val="10"/>
        <color theme="1"/>
        <rFont val="Calibri"/>
        <family val="2"/>
        <scheme val="minor"/>
      </rPr>
      <t xml:space="preserve"> </t>
    </r>
  </si>
  <si>
    <t>EXCEL Variables Names/Calculations</t>
  </si>
  <si>
    <t>Input from user =</t>
  </si>
  <si>
    <t>Output =</t>
  </si>
  <si>
    <t>Constant</t>
  </si>
  <si>
    <t>Variable Name</t>
  </si>
  <si>
    <t>Value</t>
  </si>
  <si>
    <t>STD Units</t>
  </si>
  <si>
    <t>Notes</t>
  </si>
  <si>
    <t>Iteration</t>
  </si>
  <si>
    <t>Step 1: Operational Specs</t>
  </si>
  <si>
    <t>VIN_min</t>
  </si>
  <si>
    <t>VIN_nom</t>
  </si>
  <si>
    <t>VIN_max</t>
  </si>
  <si>
    <t>Minimum input voltage</t>
  </si>
  <si>
    <t>Nominal input voltage</t>
  </si>
  <si>
    <t>Maximum input voltage</t>
  </si>
  <si>
    <t>VOUT</t>
  </si>
  <si>
    <t>Target Output Voltage</t>
  </si>
  <si>
    <t>IOUT</t>
  </si>
  <si>
    <t>Maximum Output current</t>
  </si>
  <si>
    <t>ROUT</t>
  </si>
  <si>
    <t>Ω</t>
  </si>
  <si>
    <t>POUT</t>
  </si>
  <si>
    <t>W</t>
  </si>
  <si>
    <t>EFF_est</t>
  </si>
  <si>
    <t>Estimated efficiency</t>
  </si>
  <si>
    <t>Total output power</t>
  </si>
  <si>
    <t>Minimum load resistance</t>
  </si>
  <si>
    <t>Dc_max_ideal</t>
  </si>
  <si>
    <t>Maximum duty cycle at the minimum input voltage</t>
  </si>
  <si>
    <t>Dc_max_IC</t>
  </si>
  <si>
    <t>Maximum IC duty cycle. Based on the forced off time. See Mathcad Calculations</t>
  </si>
  <si>
    <t>D_2p2_min</t>
  </si>
  <si>
    <t>D_2p2_nom</t>
  </si>
  <si>
    <t>D_2p2_max</t>
  </si>
  <si>
    <t>Minimum max duty cycle at 2p2MHZ operation</t>
  </si>
  <si>
    <t>t_off_max</t>
  </si>
  <si>
    <t>T_off_nom</t>
  </si>
  <si>
    <t>T_off_min</t>
  </si>
  <si>
    <t>s</t>
  </si>
  <si>
    <t>Minimum forced off time</t>
  </si>
  <si>
    <t>nominal forced off time</t>
  </si>
  <si>
    <t>Maximum forced off time</t>
  </si>
  <si>
    <t xml:space="preserve">IC Duty Cycle Limitation: </t>
  </si>
  <si>
    <t>D_limit_min</t>
  </si>
  <si>
    <t>D_limit_nom</t>
  </si>
  <si>
    <t>D_limit_max</t>
  </si>
  <si>
    <t>Nomminal max duty cycle at low frequency</t>
  </si>
  <si>
    <t xml:space="preserve">Base Calculations of </t>
  </si>
  <si>
    <t>Spec conditions</t>
  </si>
  <si>
    <t>Min max duty cycle at low frequency</t>
  </si>
  <si>
    <t>Maximum max duty cycle at low frequency</t>
  </si>
  <si>
    <t>Nominal right now</t>
  </si>
  <si>
    <t>Fsw</t>
  </si>
  <si>
    <t>Hz</t>
  </si>
  <si>
    <t xml:space="preserve">Switching frequnecy </t>
  </si>
  <si>
    <t>Flag</t>
  </si>
  <si>
    <t>Forced off time limit? [2 True, 1 False]</t>
  </si>
  <si>
    <t>RT</t>
  </si>
  <si>
    <t>Oscillator Set resistor. Based on the datasheet equation</t>
  </si>
  <si>
    <r>
      <t>Free running Oscillator Set Resistor, R</t>
    </r>
    <r>
      <rPr>
        <vertAlign val="subscript"/>
        <sz val="10"/>
        <color theme="1"/>
        <rFont val="Calibri"/>
        <family val="2"/>
        <scheme val="minor"/>
      </rPr>
      <t>T</t>
    </r>
  </si>
  <si>
    <r>
      <t>k</t>
    </r>
    <r>
      <rPr>
        <sz val="11"/>
        <color theme="1"/>
        <rFont val="Calibri"/>
        <family val="2"/>
      </rPr>
      <t>Ω</t>
    </r>
  </si>
  <si>
    <t>Step 2: Filter Inductor</t>
  </si>
  <si>
    <t>Dc_Limit</t>
  </si>
  <si>
    <t>Max duty cycle of LM5155 at Fsw</t>
  </si>
  <si>
    <t>EXCEL Constants / Values / IC Limits</t>
  </si>
  <si>
    <r>
      <t>Max Inductor DCR, R</t>
    </r>
    <r>
      <rPr>
        <vertAlign val="subscript"/>
        <sz val="10"/>
        <color theme="1"/>
        <rFont val="Calibri"/>
        <family val="2"/>
        <scheme val="minor"/>
      </rPr>
      <t>DCR</t>
    </r>
  </si>
  <si>
    <t>Dc_VIN_min</t>
  </si>
  <si>
    <t>Dc_VIN_nom</t>
  </si>
  <si>
    <t>Dc_VIN_max</t>
  </si>
  <si>
    <t>Duty cycle at the mimum input voltage (CCM)</t>
  </si>
  <si>
    <t>Duty cycle at the nominal input voltage (CCM)</t>
  </si>
  <si>
    <t>Duty cycle at the maximum input voltage (CCM)</t>
  </si>
  <si>
    <t>ton_min</t>
  </si>
  <si>
    <t>Typical Ton minimum value</t>
  </si>
  <si>
    <t>Lcalc_VIN_min</t>
  </si>
  <si>
    <t>Inductor at Minimum input voltage</t>
  </si>
  <si>
    <t>IL_avg_VIN_min</t>
  </si>
  <si>
    <t>IL_avg_VIN_nom</t>
  </si>
  <si>
    <t>IL_avg_VIN_max</t>
  </si>
  <si>
    <t>Average input current at minimum input voltage. 100% Eff assumed</t>
  </si>
  <si>
    <t>Average input current at nominal input voltage. 100% Eff assumed</t>
  </si>
  <si>
    <t>Average input current at maximum input voltage. 100% Eff assumed</t>
  </si>
  <si>
    <t>H</t>
  </si>
  <si>
    <t>ILrip</t>
  </si>
  <si>
    <t>Lopt</t>
  </si>
  <si>
    <t>Optimal inductor. Based off the average</t>
  </si>
  <si>
    <t>Lm</t>
  </si>
  <si>
    <t>Selected filter inductor</t>
  </si>
  <si>
    <t>Rdcr</t>
  </si>
  <si>
    <r>
      <t>m</t>
    </r>
    <r>
      <rPr>
        <sz val="11"/>
        <color theme="1"/>
        <rFont val="Calibri"/>
        <family val="2"/>
      </rPr>
      <t>Ω</t>
    </r>
  </si>
  <si>
    <r>
      <t>Peak inductor current, IL</t>
    </r>
    <r>
      <rPr>
        <vertAlign val="subscript"/>
        <sz val="10"/>
        <color theme="1"/>
        <rFont val="Calibri"/>
        <family val="2"/>
        <scheme val="minor"/>
      </rPr>
      <t>PK</t>
    </r>
  </si>
  <si>
    <t>Strategy 1</t>
  </si>
  <si>
    <t>Strategy 2</t>
  </si>
  <si>
    <t>VIN_33</t>
  </si>
  <si>
    <t>IIN_33</t>
  </si>
  <si>
    <t>Lopt_2</t>
  </si>
  <si>
    <t>.</t>
  </si>
  <si>
    <t>ILp_VINmin</t>
  </si>
  <si>
    <t>Peak inductor current at VIN min. Including estimated efficiency</t>
  </si>
  <si>
    <t>ILrip_VINmin</t>
  </si>
  <si>
    <t xml:space="preserve">Inductor ripple current at VIN min. </t>
  </si>
  <si>
    <t>ILrip_VINnom</t>
  </si>
  <si>
    <t>ILp_VINnom</t>
  </si>
  <si>
    <t>ILrip_VINmax</t>
  </si>
  <si>
    <t>ILp_VINmax</t>
  </si>
  <si>
    <t>Step 3: Current Sense Resistor</t>
  </si>
  <si>
    <t>Selected indutor ripple ratio. Will be changed later to a standard value just to keep things simple</t>
  </si>
  <si>
    <t xml:space="preserve">Inductor ripple current at VIN nom. </t>
  </si>
  <si>
    <t>Peak inductor current at VIN nom. Including estimated efficiency</t>
  </si>
  <si>
    <t xml:space="preserve">Inductor ripple current at VIN max. </t>
  </si>
  <si>
    <t>Peak inductor current at VIN max. Including estimated efficiency</t>
  </si>
  <si>
    <t>Step 3: Current Sense Resistor Selection</t>
  </si>
  <si>
    <t>Ipk_margin</t>
  </si>
  <si>
    <t>Peak current limit margin. 20% is a typical value</t>
  </si>
  <si>
    <t>Ipk_selected</t>
  </si>
  <si>
    <t>Selected peak current limit based on margin selection</t>
  </si>
  <si>
    <t>Peak ripple ratio: Boost this happens at 33%</t>
  </si>
  <si>
    <t>Dc_rip_max</t>
  </si>
  <si>
    <t>This value used to make the selection</t>
  </si>
  <si>
    <t>Input current at maximum ripple duty cycle</t>
  </si>
  <si>
    <t>Input voltage at maximum ripple duty cycle. If maximum input voltage Dc is &gt;.33 this value will be used</t>
  </si>
  <si>
    <t>Filter inductor DCR</t>
  </si>
  <si>
    <t>Ltol</t>
  </si>
  <si>
    <t>Assumed inductor tolerance. Constant to help simplify the user experience</t>
  </si>
  <si>
    <t>Rcs_max</t>
  </si>
  <si>
    <t>Maximum Rcs based on internal slope compensation. Assuming slope ratio of 1/2</t>
  </si>
  <si>
    <t>Rcs_sl_ratio</t>
  </si>
  <si>
    <t>ratio of down slope to slope compensation. This can be updated to give more margin</t>
  </si>
  <si>
    <t>Isl</t>
  </si>
  <si>
    <t>Internal slope compensation ramp</t>
  </si>
  <si>
    <t>Rsl_int</t>
  </si>
  <si>
    <t>Internal Slope compensation resistor</t>
  </si>
  <si>
    <t>Rcs_wo_sl</t>
  </si>
  <si>
    <t>Current sense resistor without slope compensation</t>
  </si>
  <si>
    <t>Vcl</t>
  </si>
  <si>
    <t>Current Limit Value. See datsheet for Parameters</t>
  </si>
  <si>
    <t>Flag_ext_sl</t>
  </si>
  <si>
    <t>External Compensation? (0-no, 1-yes)</t>
  </si>
  <si>
    <t>Rcs_w_sl</t>
  </si>
  <si>
    <t>Rcs_ext_sl_ratio</t>
  </si>
  <si>
    <t>External Slope compensation ratio. Constant</t>
  </si>
  <si>
    <t>R_sl_ext</t>
  </si>
  <si>
    <t>R_cs_calc</t>
  </si>
  <si>
    <t>R_sl_calc</t>
  </si>
  <si>
    <t>R_cs</t>
  </si>
  <si>
    <t>R_sl</t>
  </si>
  <si>
    <t>Current Sense Resistor calculated</t>
  </si>
  <si>
    <t>External slope compensation resistor</t>
  </si>
  <si>
    <t>Calculated external slope compensation resistor</t>
  </si>
  <si>
    <t>Calculated current sense resistor with slope compensation included</t>
  </si>
  <si>
    <r>
      <t>Recommended external slope compensation Resistor (R</t>
    </r>
    <r>
      <rPr>
        <vertAlign val="subscript"/>
        <sz val="11"/>
        <color theme="1"/>
        <rFont val="Calibri"/>
        <family val="2"/>
        <scheme val="minor"/>
      </rPr>
      <t>SL</t>
    </r>
    <r>
      <rPr>
        <sz val="11"/>
        <color theme="1"/>
        <rFont val="Calibri"/>
        <family val="2"/>
        <scheme val="minor"/>
      </rPr>
      <t>)</t>
    </r>
  </si>
  <si>
    <t>Selected current sense Resistor</t>
  </si>
  <si>
    <t>Selected external slope compensation</t>
  </si>
  <si>
    <r>
      <t>Selected external slope compensation Resistor (R</t>
    </r>
    <r>
      <rPr>
        <vertAlign val="subscript"/>
        <sz val="11"/>
        <color theme="1"/>
        <rFont val="Calibri"/>
        <family val="2"/>
        <scheme val="minor"/>
      </rPr>
      <t>SL</t>
    </r>
    <r>
      <rPr>
        <sz val="11"/>
        <color theme="1"/>
        <rFont val="Calibri"/>
        <family val="2"/>
        <scheme val="minor"/>
      </rPr>
      <t>)</t>
    </r>
  </si>
  <si>
    <t>Check to make sure that slope compensation is high enough at the minimum input voltage</t>
  </si>
  <si>
    <t>Slope Compensation</t>
  </si>
  <si>
    <t>sl_vin_min</t>
  </si>
  <si>
    <t>Actual inductor peak current limit</t>
  </si>
  <si>
    <t>IL_pk</t>
  </si>
  <si>
    <t>IL_pk_max</t>
  </si>
  <si>
    <t>Peak current limit at the minimum input voltage</t>
  </si>
  <si>
    <t>Peak inductor current limit for saturation rating.  VIN max due to the possibility of external slope comp</t>
  </si>
  <si>
    <t>sat_mar</t>
  </si>
  <si>
    <t>Margin for saturation current of the inductor</t>
  </si>
  <si>
    <t>V/V</t>
  </si>
  <si>
    <t>IL_sat</t>
  </si>
  <si>
    <t>Recommended Saturation current rating of the selected inductor</t>
  </si>
  <si>
    <t>COMP voltage Limit checks</t>
  </si>
  <si>
    <t>Will add this later. Can be left off for APL</t>
  </si>
  <si>
    <t>Step 4: Output Capacitor Selection</t>
  </si>
  <si>
    <t>mV</t>
  </si>
  <si>
    <t xml:space="preserve">Minimum output capacitance </t>
  </si>
  <si>
    <r>
      <t>Selected Output Capacitance (C</t>
    </r>
    <r>
      <rPr>
        <vertAlign val="subscript"/>
        <sz val="11"/>
        <color theme="1"/>
        <rFont val="Calibri"/>
        <family val="2"/>
        <scheme val="minor"/>
      </rPr>
      <t>OUT</t>
    </r>
    <r>
      <rPr>
        <sz val="11"/>
        <color theme="1"/>
        <rFont val="Calibri"/>
        <family val="2"/>
        <scheme val="minor"/>
      </rPr>
      <t>)</t>
    </r>
  </si>
  <si>
    <t>Desired output ripple</t>
  </si>
  <si>
    <t>Vout_rip_sel</t>
  </si>
  <si>
    <t>Recommend Minimum Inductor Saturation Current Rating</t>
  </si>
  <si>
    <t>Cout_min</t>
  </si>
  <si>
    <t>F</t>
  </si>
  <si>
    <t>Calculate minimum capacitance based simply on the capacitive ripple</t>
  </si>
  <si>
    <r>
      <t>Capacitor RMS current (I</t>
    </r>
    <r>
      <rPr>
        <vertAlign val="subscript"/>
        <sz val="11"/>
        <color theme="1"/>
        <rFont val="Calibri"/>
        <family val="2"/>
        <scheme val="minor"/>
      </rPr>
      <t>RMS_COUT</t>
    </r>
    <r>
      <rPr>
        <sz val="11"/>
        <color theme="1"/>
        <rFont val="Calibri"/>
        <family val="2"/>
        <scheme val="minor"/>
      </rPr>
      <t>)</t>
    </r>
  </si>
  <si>
    <t>IRMS_COUT</t>
  </si>
  <si>
    <t>RMS current of the output capacitor at VIN min IOUT max. RMS current rating should be larger than this.</t>
  </si>
  <si>
    <r>
      <t>Equivalent  COUT ESR (R</t>
    </r>
    <r>
      <rPr>
        <vertAlign val="subscript"/>
        <sz val="11"/>
        <color theme="1"/>
        <rFont val="Calibri"/>
        <family val="2"/>
        <scheme val="minor"/>
      </rPr>
      <t>ESR</t>
    </r>
    <r>
      <rPr>
        <sz val="11"/>
        <color theme="1"/>
        <rFont val="Calibri"/>
        <family val="2"/>
        <scheme val="minor"/>
      </rPr>
      <t>)</t>
    </r>
  </si>
  <si>
    <t>Resr</t>
  </si>
  <si>
    <t>Selected Output Capacitance</t>
  </si>
  <si>
    <t>Selected output capacitance ESR</t>
  </si>
  <si>
    <t>Cout</t>
  </si>
  <si>
    <r>
      <t>Selected Peak Current limit(IL</t>
    </r>
    <r>
      <rPr>
        <vertAlign val="subscript"/>
        <sz val="11"/>
        <color theme="1"/>
        <rFont val="Calibri"/>
        <family val="2"/>
        <scheme val="minor"/>
      </rPr>
      <t>PK_select</t>
    </r>
    <r>
      <rPr>
        <sz val="11"/>
        <color theme="1"/>
        <rFont val="Calibri"/>
        <family val="2"/>
        <scheme val="minor"/>
      </rPr>
      <t>)</t>
    </r>
  </si>
  <si>
    <t>Step 5: Loop Compensation</t>
  </si>
  <si>
    <t>Input Parameters</t>
  </si>
  <si>
    <t>Output Voltage</t>
  </si>
  <si>
    <t>Component Selection</t>
  </si>
  <si>
    <t>LM</t>
  </si>
  <si>
    <t>filter Inductor</t>
  </si>
  <si>
    <t>Current sense resi</t>
  </si>
  <si>
    <t>External Slope Compensation Resistor</t>
  </si>
  <si>
    <t>Interanl Slope Compesnation Resistor</t>
  </si>
  <si>
    <t>Interanl Slope Compesnation current</t>
  </si>
  <si>
    <t>RCOMP</t>
  </si>
  <si>
    <t>kΩ</t>
  </si>
  <si>
    <t>Feedback Resistor Selection</t>
  </si>
  <si>
    <t>pF</t>
  </si>
  <si>
    <t>nF</t>
  </si>
  <si>
    <t>CCOMP</t>
  </si>
  <si>
    <t>CHF</t>
  </si>
  <si>
    <t>Type II compensation Resistort</t>
  </si>
  <si>
    <t>Type II compensation Capacitor</t>
  </si>
  <si>
    <t>Type II high frequency capacitor</t>
  </si>
  <si>
    <t>RFBT</t>
  </si>
  <si>
    <t>RFBB</t>
  </si>
  <si>
    <t>Compensation Components</t>
  </si>
  <si>
    <t>Top feedback resistor</t>
  </si>
  <si>
    <t>Bottom feedback resistor</t>
  </si>
  <si>
    <t>Calculations</t>
  </si>
  <si>
    <t>Frequency</t>
  </si>
  <si>
    <t>Selected VIN</t>
  </si>
  <si>
    <t>VIN_var</t>
  </si>
  <si>
    <t>VIN_VAR</t>
  </si>
  <si>
    <t>Variable input voltage</t>
  </si>
  <si>
    <t>ADC</t>
  </si>
  <si>
    <t>Gcomp</t>
  </si>
  <si>
    <t>Scale down factor of the interal comp voltage divider</t>
  </si>
  <si>
    <t>Intenal step down of the divider</t>
  </si>
  <si>
    <t>DC gain of the plant function</t>
  </si>
  <si>
    <t>Acs</t>
  </si>
  <si>
    <t>Current sense Amplifier Gain (1 for this device)</t>
  </si>
  <si>
    <t>Low Frequency Pole</t>
  </si>
  <si>
    <t>RHPz zero of boost converter</t>
  </si>
  <si>
    <t>ESR zero cause by output capacitance</t>
  </si>
  <si>
    <t>wsl</t>
  </si>
  <si>
    <t>Q</t>
  </si>
  <si>
    <t>Se</t>
  </si>
  <si>
    <t xml:space="preserve">Slope compensation </t>
  </si>
  <si>
    <t>Down slope at the selected input voltage</t>
  </si>
  <si>
    <t>Sn</t>
  </si>
  <si>
    <t>Rad</t>
  </si>
  <si>
    <t>wp_lf</t>
  </si>
  <si>
    <t>wz_rhp</t>
  </si>
  <si>
    <t>wz_esr</t>
  </si>
  <si>
    <t>Gain</t>
  </si>
  <si>
    <t>Phase</t>
  </si>
  <si>
    <t>Sampling</t>
  </si>
  <si>
    <t>Complex</t>
  </si>
  <si>
    <t>Total</t>
  </si>
  <si>
    <t>Plant Transfer Function</t>
  </si>
  <si>
    <t>Error Amplifier</t>
  </si>
  <si>
    <t>Plant Parameters</t>
  </si>
  <si>
    <t>wz_ea</t>
  </si>
  <si>
    <t>Adc_ea</t>
  </si>
  <si>
    <t>gm_ea</t>
  </si>
  <si>
    <t>Error Amplifier Gain</t>
  </si>
  <si>
    <t>A/V</t>
  </si>
  <si>
    <t>wp0_ea</t>
  </si>
  <si>
    <t>wp1_ea</t>
  </si>
  <si>
    <t>ADC_ea</t>
  </si>
  <si>
    <t xml:space="preserve">Gain </t>
  </si>
  <si>
    <t>Open Loop Response</t>
  </si>
  <si>
    <t>COMPLEX</t>
  </si>
  <si>
    <t>Gain of open loop at wp_Lf</t>
  </si>
  <si>
    <t>dB</t>
  </si>
  <si>
    <r>
      <t xml:space="preserve">Variable input voltage to model the loop. </t>
    </r>
    <r>
      <rPr>
        <b/>
        <sz val="11"/>
        <color theme="1"/>
        <rFont val="Calibri"/>
        <family val="2"/>
        <scheme val="minor"/>
      </rPr>
      <t>Currently not used. Will be updated in next rev</t>
    </r>
  </si>
  <si>
    <t>Selected by user. Feedback resistor should be &gt;100uA to help reject noise</t>
  </si>
  <si>
    <t>Error Amplifier Zero</t>
  </si>
  <si>
    <t>Error Amplifier pole at the origin</t>
  </si>
  <si>
    <t>Error Amplifier pole at high frequencies</t>
  </si>
  <si>
    <t>RFBB_CALC</t>
  </si>
  <si>
    <t>Vref</t>
  </si>
  <si>
    <t>Reference voltage</t>
  </si>
  <si>
    <t>Estimated bottom feedback resistor</t>
  </si>
  <si>
    <t>Selected botton feedback resistor</t>
  </si>
  <si>
    <t>Ifb</t>
  </si>
  <si>
    <t>Current Drawn from the feedback resistors (Typically higher than 100uA to help w/ noise)</t>
  </si>
  <si>
    <r>
      <t xml:space="preserve">Plant low frequency pole. </t>
    </r>
    <r>
      <rPr>
        <b/>
        <sz val="11"/>
        <color theme="1"/>
        <rFont val="Calibri"/>
        <family val="2"/>
        <scheme val="minor"/>
      </rPr>
      <t>IN Hz!!!</t>
    </r>
  </si>
  <si>
    <r>
      <t xml:space="preserve">Plant RHP Zero, </t>
    </r>
    <r>
      <rPr>
        <b/>
        <sz val="11"/>
        <color theme="1"/>
        <rFont val="Calibri"/>
        <family val="2"/>
        <scheme val="minor"/>
      </rPr>
      <t>(IN Hz)</t>
    </r>
  </si>
  <si>
    <r>
      <t xml:space="preserve">Plant capacitor ESR zero </t>
    </r>
    <r>
      <rPr>
        <b/>
        <sz val="11"/>
        <color theme="1"/>
        <rFont val="Calibri"/>
        <family val="2"/>
        <scheme val="minor"/>
      </rPr>
      <t>(In Hz)</t>
    </r>
  </si>
  <si>
    <t>Feedback resistor selection</t>
  </si>
  <si>
    <t>Crossover Frequency Selection</t>
  </si>
  <si>
    <t>Fcross_est</t>
  </si>
  <si>
    <r>
      <t>Calculated bottom feedback resistor (R</t>
    </r>
    <r>
      <rPr>
        <vertAlign val="subscript"/>
        <sz val="11"/>
        <color theme="1"/>
        <rFont val="Calibri"/>
        <family val="2"/>
        <scheme val="minor"/>
      </rPr>
      <t>FBB_cala</t>
    </r>
    <r>
      <rPr>
        <sz val="11"/>
        <color theme="1"/>
        <rFont val="Calibri"/>
        <family val="2"/>
        <scheme val="minor"/>
      </rPr>
      <t>)</t>
    </r>
  </si>
  <si>
    <t>fcross</t>
  </si>
  <si>
    <t>Desired Crossover frequency</t>
  </si>
  <si>
    <t>1/10 the swictching frequency</t>
  </si>
  <si>
    <t>Conservative. Set Fcross to be 1/5th the RHP zero frequency or 1/10th SW: whichever is lower</t>
  </si>
  <si>
    <t>Select the lower crossover frequency</t>
  </si>
  <si>
    <t>Gplant_fc</t>
  </si>
  <si>
    <t>Gain of the plant at the desired crossover frequency</t>
  </si>
  <si>
    <t>Fcross</t>
  </si>
  <si>
    <t>wz_RHP</t>
  </si>
  <si>
    <t>Gplant_fc_dB</t>
  </si>
  <si>
    <t>Plant gain at crossover frequency (dB)</t>
  </si>
  <si>
    <t>Gea_mid_calc</t>
  </si>
  <si>
    <t>Error Amplifier Mid-band gain to set cross over frequency correctly</t>
  </si>
  <si>
    <t>Rcomp_Calc</t>
  </si>
  <si>
    <t>Calculate on based on the desired Mid-band gain needed to set the crossover frequency</t>
  </si>
  <si>
    <t>fz_ea_est</t>
  </si>
  <si>
    <t>Set the fz_ea 1/10th the cross over frequency (Common approach)</t>
  </si>
  <si>
    <t>Set the fz_ea geometerically inbetween crossover and the wp_lf</t>
  </si>
  <si>
    <t>Fz_ea_1</t>
  </si>
  <si>
    <t>Fz_ea_2</t>
  </si>
  <si>
    <t>CCOMP_calc</t>
  </si>
  <si>
    <t>CHF_Calc</t>
  </si>
  <si>
    <t>fp_ea_est</t>
  </si>
  <si>
    <r>
      <t>Select a top feedback resistor(R</t>
    </r>
    <r>
      <rPr>
        <vertAlign val="subscript"/>
        <sz val="11"/>
        <color theme="1"/>
        <rFont val="Calibri"/>
        <family val="2"/>
        <scheme val="minor"/>
      </rPr>
      <t>FBT</t>
    </r>
    <r>
      <rPr>
        <sz val="11"/>
        <color theme="1"/>
        <rFont val="Calibri"/>
        <family val="2"/>
        <scheme val="minor"/>
      </rPr>
      <t>)</t>
    </r>
  </si>
  <si>
    <t>Step 5: Soft-Start Capacitor Selection</t>
  </si>
  <si>
    <t>Step 6: UVLO Resistor Divider Selection</t>
  </si>
  <si>
    <t>Efficiency / Power Loss Analyzer</t>
  </si>
  <si>
    <r>
      <t>R</t>
    </r>
    <r>
      <rPr>
        <vertAlign val="subscript"/>
        <sz val="11"/>
        <color theme="1"/>
        <rFont val="Calibri"/>
        <family val="2"/>
        <scheme val="minor"/>
      </rPr>
      <t>COMP</t>
    </r>
  </si>
  <si>
    <t>Calculated</t>
  </si>
  <si>
    <t>Selected</t>
  </si>
  <si>
    <t>Steps</t>
  </si>
  <si>
    <t>Step size</t>
  </si>
  <si>
    <t>VIN</t>
  </si>
  <si>
    <t>DCM/CCM</t>
  </si>
  <si>
    <t>DC</t>
  </si>
  <si>
    <t>IIN</t>
  </si>
  <si>
    <t>Icrms_min</t>
  </si>
  <si>
    <t>Minimum required RMS current rating for the output capacitor bank</t>
  </si>
  <si>
    <t>On-time of the switch</t>
  </si>
  <si>
    <t>Soft-Start</t>
  </si>
  <si>
    <t>Iss</t>
  </si>
  <si>
    <t>Soft-start capacitor charge current</t>
  </si>
  <si>
    <t>Soft-Start Charge current</t>
  </si>
  <si>
    <t>Css_min</t>
  </si>
  <si>
    <t>Suggested minimum SS capacitor to minize the over shoot.</t>
  </si>
  <si>
    <t>tss</t>
  </si>
  <si>
    <t>Desired Soft-Start Capacitor</t>
  </si>
  <si>
    <r>
      <t>Suggested minimum soft-start capacitor (C</t>
    </r>
    <r>
      <rPr>
        <vertAlign val="subscript"/>
        <sz val="11"/>
        <color theme="1"/>
        <rFont val="Calibri"/>
        <family val="2"/>
        <scheme val="minor"/>
      </rPr>
      <t>SS_MIN</t>
    </r>
    <r>
      <rPr>
        <sz val="11"/>
        <color theme="1"/>
        <rFont val="Calibri"/>
        <family val="2"/>
        <scheme val="minor"/>
      </rPr>
      <t>)</t>
    </r>
  </si>
  <si>
    <t>ms</t>
  </si>
  <si>
    <t>Css_calc</t>
  </si>
  <si>
    <t>Calcualted Soft-start capacitor</t>
  </si>
  <si>
    <r>
      <t>Calculated soft-start capacitor (C</t>
    </r>
    <r>
      <rPr>
        <vertAlign val="subscript"/>
        <sz val="11"/>
        <color theme="1"/>
        <rFont val="Calibri"/>
        <family val="2"/>
        <scheme val="minor"/>
      </rPr>
      <t>SS</t>
    </r>
    <r>
      <rPr>
        <sz val="11"/>
        <color theme="1"/>
        <rFont val="Calibri"/>
        <family val="2"/>
        <scheme val="minor"/>
      </rPr>
      <t>)</t>
    </r>
  </si>
  <si>
    <r>
      <t>Desired voltage OFF (V</t>
    </r>
    <r>
      <rPr>
        <vertAlign val="subscript"/>
        <sz val="11"/>
        <color theme="1"/>
        <rFont val="Calibri"/>
        <family val="2"/>
        <scheme val="minor"/>
      </rPr>
      <t>UVLO_OFF</t>
    </r>
    <r>
      <rPr>
        <sz val="11"/>
        <color theme="1"/>
        <rFont val="Calibri"/>
        <family val="2"/>
        <scheme val="minor"/>
      </rPr>
      <t>)</t>
    </r>
  </si>
  <si>
    <r>
      <t>Desired voltage On (V</t>
    </r>
    <r>
      <rPr>
        <vertAlign val="subscript"/>
        <sz val="11"/>
        <color theme="1"/>
        <rFont val="Calibri"/>
        <family val="2"/>
        <scheme val="minor"/>
      </rPr>
      <t>UVLO_ON</t>
    </r>
    <r>
      <rPr>
        <sz val="11"/>
        <color theme="1"/>
        <rFont val="Calibri"/>
        <family val="2"/>
        <scheme val="minor"/>
      </rPr>
      <t>)</t>
    </r>
  </si>
  <si>
    <t>Step 6: UVLO Resistor Selection</t>
  </si>
  <si>
    <t>Step 5: Soft-start Capacitor selection</t>
  </si>
  <si>
    <t>Vuvlo_on</t>
  </si>
  <si>
    <t>Vuvlo_off</t>
  </si>
  <si>
    <t>Desired turn on voltage</t>
  </si>
  <si>
    <t>Desired turn off voltage</t>
  </si>
  <si>
    <t>UVLO Thresholds</t>
  </si>
  <si>
    <t>UV_rise</t>
  </si>
  <si>
    <t>UV_fall</t>
  </si>
  <si>
    <t>Falling threshold (See datasheet for more details)</t>
  </si>
  <si>
    <t>Rising Threshold (See datasheet for more details)</t>
  </si>
  <si>
    <t>Rising UV threshold</t>
  </si>
  <si>
    <t>Falling  UV threshold</t>
  </si>
  <si>
    <t>UV_I_hyst</t>
  </si>
  <si>
    <t>UVLO current hysteresis</t>
  </si>
  <si>
    <t>UVLO circuit current hysteresis</t>
  </si>
  <si>
    <t>Ruvlo_top_calc</t>
  </si>
  <si>
    <t>Ruvlo_bottom_calc</t>
  </si>
  <si>
    <t>Vuvlo_on_act</t>
  </si>
  <si>
    <t>Vuvlo_off_act</t>
  </si>
  <si>
    <t>Actual turn on voltage</t>
  </si>
  <si>
    <t>Actual turn off voltage</t>
  </si>
  <si>
    <t>Step  7: Loop Compensation</t>
  </si>
  <si>
    <t>Operation Variables</t>
  </si>
  <si>
    <t>Duty Cycle</t>
  </si>
  <si>
    <t>dIL</t>
  </si>
  <si>
    <r>
      <t>IL</t>
    </r>
    <r>
      <rPr>
        <vertAlign val="subscript"/>
        <sz val="11"/>
        <color theme="1"/>
        <rFont val="Calibri"/>
        <family val="2"/>
        <scheme val="minor"/>
      </rPr>
      <t>RMS</t>
    </r>
  </si>
  <si>
    <r>
      <t>IL</t>
    </r>
    <r>
      <rPr>
        <vertAlign val="subscript"/>
        <sz val="11"/>
        <color theme="1"/>
        <rFont val="Calibri"/>
        <family val="2"/>
        <scheme val="minor"/>
      </rPr>
      <t>PEAK</t>
    </r>
  </si>
  <si>
    <t>DC_off</t>
  </si>
  <si>
    <r>
      <t>ID</t>
    </r>
    <r>
      <rPr>
        <vertAlign val="subscript"/>
        <sz val="11"/>
        <color theme="1"/>
        <rFont val="Calibri"/>
        <family val="2"/>
        <scheme val="minor"/>
      </rPr>
      <t>RMS</t>
    </r>
  </si>
  <si>
    <t>Step 7: Component Selection</t>
  </si>
  <si>
    <t>Vd_rect</t>
  </si>
  <si>
    <t>Rect Diode forward voltage drop</t>
  </si>
  <si>
    <r>
      <t>ID</t>
    </r>
    <r>
      <rPr>
        <vertAlign val="subscript"/>
        <sz val="11"/>
        <color theme="1"/>
        <rFont val="Calibri"/>
        <family val="2"/>
        <scheme val="minor"/>
      </rPr>
      <t xml:space="preserve">AVG </t>
    </r>
    <r>
      <rPr>
        <sz val="11"/>
        <color theme="1"/>
        <rFont val="Calibri"/>
        <family val="2"/>
        <scheme val="minor"/>
      </rPr>
      <t>(A)</t>
    </r>
  </si>
  <si>
    <r>
      <t>P</t>
    </r>
    <r>
      <rPr>
        <vertAlign val="subscript"/>
        <sz val="11"/>
        <color theme="1"/>
        <rFont val="Calibri"/>
        <family val="2"/>
        <scheme val="minor"/>
      </rPr>
      <t>Lac</t>
    </r>
    <r>
      <rPr>
        <sz val="11"/>
        <color theme="1"/>
        <rFont val="Calibri"/>
        <family val="2"/>
        <scheme val="minor"/>
      </rPr>
      <t xml:space="preserve"> (W)</t>
    </r>
  </si>
  <si>
    <r>
      <t>P</t>
    </r>
    <r>
      <rPr>
        <vertAlign val="subscript"/>
        <sz val="11"/>
        <color theme="1"/>
        <rFont val="Calibri"/>
        <family val="2"/>
        <scheme val="minor"/>
      </rPr>
      <t>L_DCR</t>
    </r>
    <r>
      <rPr>
        <sz val="11"/>
        <color theme="1"/>
        <rFont val="Calibri"/>
        <family val="2"/>
        <scheme val="minor"/>
      </rPr>
      <t xml:space="preserve"> (W)</t>
    </r>
  </si>
  <si>
    <r>
      <t>P</t>
    </r>
    <r>
      <rPr>
        <vertAlign val="subscript"/>
        <sz val="11"/>
        <color theme="1"/>
        <rFont val="Calibri"/>
        <family val="2"/>
        <scheme val="minor"/>
      </rPr>
      <t xml:space="preserve">D_COND </t>
    </r>
    <r>
      <rPr>
        <sz val="11"/>
        <color theme="1"/>
        <rFont val="Calibri"/>
        <family val="2"/>
        <scheme val="minor"/>
      </rPr>
      <t>(W)</t>
    </r>
  </si>
  <si>
    <r>
      <t>P</t>
    </r>
    <r>
      <rPr>
        <vertAlign val="subscript"/>
        <sz val="11"/>
        <color theme="1"/>
        <rFont val="Calibri"/>
        <family val="2"/>
        <scheme val="minor"/>
      </rPr>
      <t xml:space="preserve">D_SW </t>
    </r>
    <r>
      <rPr>
        <sz val="11"/>
        <color theme="1"/>
        <rFont val="Calibri"/>
        <family val="2"/>
        <scheme val="minor"/>
      </rPr>
      <t>(W)</t>
    </r>
  </si>
  <si>
    <r>
      <t>On-State Resistance, R</t>
    </r>
    <r>
      <rPr>
        <vertAlign val="subscript"/>
        <sz val="10"/>
        <rFont val="Arial"/>
        <family val="2"/>
      </rPr>
      <t>DS(on)</t>
    </r>
    <r>
      <rPr>
        <sz val="10"/>
        <rFont val="Arial"/>
        <family val="2"/>
      </rPr>
      <t xml:space="preserve"> </t>
    </r>
  </si>
  <si>
    <r>
      <t>Total Gate Charge, Q</t>
    </r>
    <r>
      <rPr>
        <vertAlign val="subscript"/>
        <sz val="10"/>
        <rFont val="Arial"/>
        <family val="2"/>
      </rPr>
      <t>G</t>
    </r>
    <r>
      <rPr>
        <sz val="10"/>
        <rFont val="Arial"/>
        <family val="2"/>
      </rPr>
      <t xml:space="preserve"> </t>
    </r>
  </si>
  <si>
    <r>
      <t>Gate-Drain Charge, Q</t>
    </r>
    <r>
      <rPr>
        <vertAlign val="subscript"/>
        <sz val="10"/>
        <rFont val="Arial"/>
        <family val="2"/>
      </rPr>
      <t>GD</t>
    </r>
    <r>
      <rPr>
        <sz val="10"/>
        <rFont val="Arial"/>
        <family val="2"/>
      </rPr>
      <t xml:space="preserve"> </t>
    </r>
  </si>
  <si>
    <r>
      <t>Gate-Source Charge, Q</t>
    </r>
    <r>
      <rPr>
        <vertAlign val="subscript"/>
        <sz val="10"/>
        <rFont val="Arial"/>
        <family val="2"/>
      </rPr>
      <t>GS</t>
    </r>
    <r>
      <rPr>
        <sz val="10"/>
        <rFont val="Arial"/>
        <family val="2"/>
      </rPr>
      <t xml:space="preserve"> </t>
    </r>
  </si>
  <si>
    <r>
      <t>Gate Resistance, R</t>
    </r>
    <r>
      <rPr>
        <vertAlign val="subscript"/>
        <sz val="10"/>
        <rFont val="Arial"/>
        <family val="2"/>
      </rPr>
      <t>G</t>
    </r>
    <r>
      <rPr>
        <sz val="10"/>
        <rFont val="Arial"/>
        <family val="2"/>
      </rPr>
      <t xml:space="preserve"> </t>
    </r>
  </si>
  <si>
    <r>
      <t>Transconductance, g</t>
    </r>
    <r>
      <rPr>
        <vertAlign val="subscript"/>
        <sz val="10"/>
        <rFont val="Arial"/>
        <family val="2"/>
      </rPr>
      <t>FS</t>
    </r>
    <r>
      <rPr>
        <sz val="10"/>
        <rFont val="Arial"/>
        <family val="2"/>
      </rPr>
      <t xml:space="preserve"> </t>
    </r>
  </si>
  <si>
    <r>
      <t>Gate-Source Threshold Voltage, V</t>
    </r>
    <r>
      <rPr>
        <vertAlign val="subscript"/>
        <sz val="10"/>
        <rFont val="Arial"/>
        <family val="2"/>
      </rPr>
      <t>TH</t>
    </r>
    <r>
      <rPr>
        <sz val="10"/>
        <rFont val="Arial"/>
        <family val="2"/>
      </rPr>
      <t xml:space="preserve"> </t>
    </r>
  </si>
  <si>
    <t>mΩ</t>
  </si>
  <si>
    <t>nC</t>
  </si>
  <si>
    <t>Ω</t>
  </si>
  <si>
    <t>S</t>
  </si>
  <si>
    <t>Diode Parameters</t>
  </si>
  <si>
    <t>MOSFET parameters</t>
  </si>
  <si>
    <r>
      <t>Forward Voltage Drop (V</t>
    </r>
    <r>
      <rPr>
        <vertAlign val="subscript"/>
        <sz val="11"/>
        <color theme="1"/>
        <rFont val="Calibri"/>
        <family val="2"/>
        <scheme val="minor"/>
      </rPr>
      <t>D</t>
    </r>
    <r>
      <rPr>
        <sz val="11"/>
        <color theme="1"/>
        <rFont val="Calibri"/>
        <family val="2"/>
        <scheme val="minor"/>
      </rPr>
      <t>)</t>
    </r>
  </si>
  <si>
    <t>MOSFET Parameters</t>
  </si>
  <si>
    <t>Qg_tot</t>
  </si>
  <si>
    <t>Qgs</t>
  </si>
  <si>
    <t>Qgd</t>
  </si>
  <si>
    <t>Rgate</t>
  </si>
  <si>
    <t>gfs</t>
  </si>
  <si>
    <t>Vth</t>
  </si>
  <si>
    <t>Reverse recovery charge of Schottky  Diode (QRR)</t>
  </si>
  <si>
    <t>C</t>
  </si>
  <si>
    <t>Shottky Reverse recovery charge</t>
  </si>
  <si>
    <t>Qrr</t>
  </si>
  <si>
    <t>RDS_on</t>
  </si>
  <si>
    <t>Rgate_int</t>
  </si>
  <si>
    <t>Internal Gate resistance of the MOSFET driver.</t>
  </si>
  <si>
    <t>Vsp</t>
  </si>
  <si>
    <t>Gate voltage when MOSFET begins conducting current</t>
  </si>
  <si>
    <t>Rise time of the switch node</t>
  </si>
  <si>
    <t>Fall time of the switch node</t>
  </si>
  <si>
    <t>VCC</t>
  </si>
  <si>
    <t>VCC regulator</t>
  </si>
  <si>
    <t>Vcc</t>
  </si>
  <si>
    <t>Regulated output voltage of internal LDO. Can change if this is externally biased.</t>
  </si>
  <si>
    <t>Need to double check this value</t>
  </si>
  <si>
    <t xml:space="preserve">VCC voltage. Can be changed with external bias. </t>
  </si>
  <si>
    <t>tr_sw</t>
  </si>
  <si>
    <t>tf_sw</t>
  </si>
  <si>
    <r>
      <t>ISW</t>
    </r>
    <r>
      <rPr>
        <vertAlign val="subscript"/>
        <sz val="11"/>
        <color theme="1"/>
        <rFont val="Calibri"/>
        <family val="2"/>
        <scheme val="minor"/>
      </rPr>
      <t xml:space="preserve">AVG </t>
    </r>
    <r>
      <rPr>
        <sz val="11"/>
        <color theme="1"/>
        <rFont val="Calibri"/>
        <family val="2"/>
        <scheme val="minor"/>
      </rPr>
      <t>(A)</t>
    </r>
  </si>
  <si>
    <r>
      <t>ISW</t>
    </r>
    <r>
      <rPr>
        <vertAlign val="subscript"/>
        <sz val="11"/>
        <color theme="1"/>
        <rFont val="Calibri"/>
        <family val="2"/>
        <scheme val="minor"/>
      </rPr>
      <t>RMS</t>
    </r>
  </si>
  <si>
    <r>
      <t>P</t>
    </r>
    <r>
      <rPr>
        <vertAlign val="subscript"/>
        <sz val="11"/>
        <color theme="1"/>
        <rFont val="Calibri"/>
        <family val="2"/>
        <scheme val="minor"/>
      </rPr>
      <t xml:space="preserve">Q_SW </t>
    </r>
    <r>
      <rPr>
        <sz val="11"/>
        <color theme="1"/>
        <rFont val="Calibri"/>
        <family val="2"/>
        <scheme val="minor"/>
      </rPr>
      <t>(W)</t>
    </r>
  </si>
  <si>
    <r>
      <t>P</t>
    </r>
    <r>
      <rPr>
        <vertAlign val="subscript"/>
        <sz val="11"/>
        <color theme="1"/>
        <rFont val="Calibri"/>
        <family val="2"/>
        <scheme val="minor"/>
      </rPr>
      <t xml:space="preserve">Q_COND </t>
    </r>
    <r>
      <rPr>
        <sz val="11"/>
        <color theme="1"/>
        <rFont val="Calibri"/>
        <family val="2"/>
        <scheme val="minor"/>
      </rPr>
      <t>(W)</t>
    </r>
  </si>
  <si>
    <r>
      <t>P</t>
    </r>
    <r>
      <rPr>
        <vertAlign val="subscript"/>
        <sz val="11"/>
        <color theme="1"/>
        <rFont val="Calibri"/>
        <family val="2"/>
        <scheme val="minor"/>
      </rPr>
      <t xml:space="preserve">Q_tot </t>
    </r>
    <r>
      <rPr>
        <sz val="11"/>
        <color theme="1"/>
        <rFont val="Calibri"/>
        <family val="2"/>
        <scheme val="minor"/>
      </rPr>
      <t>(W)</t>
    </r>
  </si>
  <si>
    <r>
      <t>P</t>
    </r>
    <r>
      <rPr>
        <vertAlign val="subscript"/>
        <sz val="11"/>
        <color theme="1"/>
        <rFont val="Calibri"/>
        <family val="2"/>
        <scheme val="minor"/>
      </rPr>
      <t xml:space="preserve">D_tot </t>
    </r>
    <r>
      <rPr>
        <sz val="11"/>
        <color theme="1"/>
        <rFont val="Calibri"/>
        <family val="2"/>
        <scheme val="minor"/>
      </rPr>
      <t>(W)</t>
    </r>
  </si>
  <si>
    <r>
      <t>P</t>
    </r>
    <r>
      <rPr>
        <vertAlign val="subscript"/>
        <sz val="11"/>
        <color theme="1"/>
        <rFont val="Calibri"/>
        <family val="2"/>
        <scheme val="minor"/>
      </rPr>
      <t>L_tot</t>
    </r>
    <r>
      <rPr>
        <sz val="11"/>
        <color theme="1"/>
        <rFont val="Calibri"/>
        <family val="2"/>
        <scheme val="minor"/>
      </rPr>
      <t xml:space="preserve"> (W)</t>
    </r>
  </si>
  <si>
    <r>
      <t>P</t>
    </r>
    <r>
      <rPr>
        <vertAlign val="subscript"/>
        <sz val="11"/>
        <color theme="1"/>
        <rFont val="Calibri"/>
        <family val="2"/>
        <scheme val="minor"/>
      </rPr>
      <t>RCS</t>
    </r>
    <r>
      <rPr>
        <sz val="11"/>
        <color theme="1"/>
        <rFont val="Calibri"/>
        <family val="2"/>
        <scheme val="minor"/>
      </rPr>
      <t xml:space="preserve"> (W)</t>
    </r>
  </si>
  <si>
    <t>Total Losses</t>
  </si>
  <si>
    <r>
      <t>P</t>
    </r>
    <r>
      <rPr>
        <vertAlign val="subscript"/>
        <sz val="11"/>
        <color theme="1"/>
        <rFont val="Calibri"/>
        <family val="2"/>
        <scheme val="minor"/>
      </rPr>
      <t>TOTAL</t>
    </r>
    <r>
      <rPr>
        <sz val="11"/>
        <color theme="1"/>
        <rFont val="Calibri"/>
        <family val="2"/>
        <scheme val="minor"/>
      </rPr>
      <t xml:space="preserve"> (W)</t>
    </r>
  </si>
  <si>
    <r>
      <t>P</t>
    </r>
    <r>
      <rPr>
        <vertAlign val="subscript"/>
        <sz val="11"/>
        <color theme="1"/>
        <rFont val="Calibri"/>
        <family val="2"/>
        <scheme val="minor"/>
      </rPr>
      <t>G_drv</t>
    </r>
    <r>
      <rPr>
        <sz val="11"/>
        <color theme="1"/>
        <rFont val="Calibri"/>
        <family val="2"/>
        <scheme val="minor"/>
      </rPr>
      <t xml:space="preserve"> (W)</t>
    </r>
  </si>
  <si>
    <r>
      <t>P</t>
    </r>
    <r>
      <rPr>
        <vertAlign val="subscript"/>
        <sz val="11"/>
        <color theme="1"/>
        <rFont val="Calibri"/>
        <family val="2"/>
        <scheme val="minor"/>
      </rPr>
      <t>IQ</t>
    </r>
    <r>
      <rPr>
        <sz val="11"/>
        <color theme="1"/>
        <rFont val="Calibri"/>
        <family val="2"/>
        <scheme val="minor"/>
      </rPr>
      <t xml:space="preserve"> (W)</t>
    </r>
  </si>
  <si>
    <t>IQ current</t>
  </si>
  <si>
    <t xml:space="preserve">IQ </t>
  </si>
  <si>
    <t>Non-switching IQ current</t>
  </si>
  <si>
    <t>Other Losses</t>
  </si>
  <si>
    <t>Eff</t>
  </si>
  <si>
    <r>
      <t>P</t>
    </r>
    <r>
      <rPr>
        <vertAlign val="subscript"/>
        <sz val="11"/>
        <color theme="1"/>
        <rFont val="Calibri"/>
        <family val="2"/>
        <scheme val="minor"/>
      </rPr>
      <t>OUT</t>
    </r>
    <r>
      <rPr>
        <sz val="11"/>
        <color theme="1"/>
        <rFont val="Calibri"/>
        <family val="2"/>
        <scheme val="minor"/>
      </rPr>
      <t xml:space="preserve"> (W)</t>
    </r>
  </si>
  <si>
    <t>MOSFET</t>
  </si>
  <si>
    <t>Inductor</t>
  </si>
  <si>
    <t>Diode</t>
  </si>
  <si>
    <r>
      <t>C</t>
    </r>
    <r>
      <rPr>
        <vertAlign val="subscript"/>
        <sz val="11"/>
        <color theme="1"/>
        <rFont val="Calibri"/>
        <family val="2"/>
        <scheme val="minor"/>
      </rPr>
      <t>COMP</t>
    </r>
  </si>
  <si>
    <r>
      <t>C</t>
    </r>
    <r>
      <rPr>
        <vertAlign val="subscript"/>
        <sz val="11"/>
        <color theme="1"/>
        <rFont val="Calibri"/>
        <family val="2"/>
        <scheme val="minor"/>
      </rPr>
      <t>HF</t>
    </r>
  </si>
  <si>
    <t>IOUT_VAR</t>
  </si>
  <si>
    <t>Variable output current (Need to add this in</t>
  </si>
  <si>
    <t>RHP_zero location based on the minimum input voltage</t>
  </si>
  <si>
    <t>Low frequency pole based on the minimum input voltage</t>
  </si>
  <si>
    <t>rad</t>
  </si>
  <si>
    <t>raf</t>
  </si>
  <si>
    <t>ESR zero based on the minimum input voltage</t>
  </si>
  <si>
    <t>This is based on the minimum input voltage. T</t>
  </si>
  <si>
    <t>Input Voltage</t>
  </si>
  <si>
    <r>
      <t>Recommended Inductance (L</t>
    </r>
    <r>
      <rPr>
        <vertAlign val="subscript"/>
        <sz val="10"/>
        <color theme="1"/>
        <rFont val="Calibri"/>
        <family val="2"/>
        <scheme val="minor"/>
      </rPr>
      <t>M_CALC</t>
    </r>
    <r>
      <rPr>
        <sz val="10"/>
        <color theme="1"/>
        <rFont val="Calibri"/>
        <family val="2"/>
        <scheme val="minor"/>
      </rPr>
      <t>)</t>
    </r>
  </si>
  <si>
    <r>
      <t>User Selection. Inductance, (L</t>
    </r>
    <r>
      <rPr>
        <vertAlign val="subscript"/>
        <sz val="10"/>
        <color theme="1"/>
        <rFont val="Calibri"/>
        <family val="2"/>
        <scheme val="minor"/>
      </rPr>
      <t>M</t>
    </r>
    <r>
      <rPr>
        <sz val="10"/>
        <color theme="1"/>
        <rFont val="Calibri"/>
        <family val="2"/>
        <scheme val="minor"/>
      </rPr>
      <t>)</t>
    </r>
  </si>
  <si>
    <t>Id_AVG</t>
  </si>
  <si>
    <t xml:space="preserve">Suggested average current rating of diode. </t>
  </si>
  <si>
    <r>
      <t>Calculated top UVLO resistor value (R</t>
    </r>
    <r>
      <rPr>
        <vertAlign val="subscript"/>
        <sz val="11"/>
        <color theme="1"/>
        <rFont val="Calibri"/>
        <family val="2"/>
        <scheme val="minor"/>
      </rPr>
      <t>UVT_CALC</t>
    </r>
    <r>
      <rPr>
        <sz val="11"/>
        <color theme="1"/>
        <rFont val="Calibri"/>
        <family val="2"/>
        <scheme val="minor"/>
      </rPr>
      <t>)</t>
    </r>
  </si>
  <si>
    <r>
      <t>Selected top UVLO resistor value (R</t>
    </r>
    <r>
      <rPr>
        <vertAlign val="subscript"/>
        <sz val="11"/>
        <color theme="1"/>
        <rFont val="Calibri"/>
        <family val="2"/>
        <scheme val="minor"/>
      </rPr>
      <t>UVT</t>
    </r>
    <r>
      <rPr>
        <sz val="11"/>
        <color theme="1"/>
        <rFont val="Calibri"/>
        <family val="2"/>
        <scheme val="minor"/>
      </rPr>
      <t>)</t>
    </r>
  </si>
  <si>
    <r>
      <t>Bottom UVLO Resistor (R</t>
    </r>
    <r>
      <rPr>
        <vertAlign val="subscript"/>
        <sz val="11"/>
        <color theme="1"/>
        <rFont val="Calibri"/>
        <family val="2"/>
        <scheme val="minor"/>
      </rPr>
      <t>UVB</t>
    </r>
    <r>
      <rPr>
        <sz val="11"/>
        <color theme="1"/>
        <rFont val="Calibri"/>
        <family val="2"/>
        <scheme val="minor"/>
      </rPr>
      <t>)</t>
    </r>
  </si>
  <si>
    <t>Calcualted top UVLO resistor</t>
  </si>
  <si>
    <t>Selected top UVLO resistor</t>
  </si>
  <si>
    <t>Calcualted Bottom UBLO Resistor</t>
  </si>
  <si>
    <t>Frcoss (VIN)min</t>
  </si>
  <si>
    <t>ADC_VINmin</t>
  </si>
  <si>
    <t>wp_lf_VINmin</t>
  </si>
  <si>
    <t>fp_lf_VINmin</t>
  </si>
  <si>
    <t>wz_esr_VINmin</t>
  </si>
  <si>
    <t>fz_esr_VINmin</t>
  </si>
  <si>
    <t>wz_RHP_VINmin</t>
  </si>
  <si>
    <t>fz_rhp_VINmin</t>
  </si>
  <si>
    <t>Se_VINmin</t>
  </si>
  <si>
    <t>Sn_VINmin</t>
  </si>
  <si>
    <t>wsl_VINmin</t>
  </si>
  <si>
    <t>Q_VINmin</t>
  </si>
  <si>
    <t>Operation Raange</t>
  </si>
  <si>
    <t>Vin_op_min</t>
  </si>
  <si>
    <t>Minimum operating voltage</t>
  </si>
  <si>
    <t>Maximum BIAS pin operating voltage</t>
  </si>
  <si>
    <t>Vin_op_max</t>
  </si>
  <si>
    <r>
      <t>Boost Converter Duty Cycle Limit by LM5155 at V</t>
    </r>
    <r>
      <rPr>
        <vertAlign val="subscript"/>
        <sz val="10"/>
        <color theme="1"/>
        <rFont val="Calibri"/>
        <family val="2"/>
        <scheme val="minor"/>
      </rPr>
      <t>SUPPLY(MIN)</t>
    </r>
  </si>
  <si>
    <r>
      <t>Desired Maximum Inductor Current Ripple Ratio (I</t>
    </r>
    <r>
      <rPr>
        <vertAlign val="subscript"/>
        <sz val="10"/>
        <color theme="1"/>
        <rFont val="Calibri"/>
        <family val="2"/>
        <scheme val="minor"/>
      </rPr>
      <t>RR_MAX</t>
    </r>
    <r>
      <rPr>
        <sz val="10"/>
        <color theme="1"/>
        <rFont val="Calibri"/>
        <family val="2"/>
        <scheme val="minor"/>
      </rPr>
      <t>)</t>
    </r>
  </si>
  <si>
    <t>Peak Current Limit Margin</t>
  </si>
  <si>
    <r>
      <t>Voltage selected (V</t>
    </r>
    <r>
      <rPr>
        <vertAlign val="subscript"/>
        <sz val="11"/>
        <rFont val="Calibri"/>
        <family val="2"/>
        <scheme val="minor"/>
      </rPr>
      <t>IN_VAR</t>
    </r>
    <r>
      <rPr>
        <sz val="11"/>
        <rFont val="Calibri"/>
        <family val="2"/>
        <scheme val="minor"/>
      </rPr>
      <t>)</t>
    </r>
  </si>
  <si>
    <t>This should be set at or near the lowest RHP zero Frequency</t>
  </si>
  <si>
    <t>Set between 1/2 fsw and the RHPz in the application note. This is aggressive</t>
  </si>
  <si>
    <r>
      <t>Recommended minimum average current rating (I</t>
    </r>
    <r>
      <rPr>
        <vertAlign val="subscript"/>
        <sz val="11"/>
        <color theme="1"/>
        <rFont val="Calibri"/>
        <family val="2"/>
        <scheme val="minor"/>
      </rPr>
      <t>D_AVG</t>
    </r>
    <r>
      <rPr>
        <sz val="11"/>
        <color theme="1"/>
        <rFont val="Calibri"/>
        <family val="2"/>
        <scheme val="minor"/>
      </rPr>
      <t>)</t>
    </r>
  </si>
  <si>
    <r>
      <t>Recommended current sense Resistor (R</t>
    </r>
    <r>
      <rPr>
        <vertAlign val="subscript"/>
        <sz val="11"/>
        <color theme="1"/>
        <rFont val="Calibri"/>
        <family val="2"/>
        <scheme val="minor"/>
      </rPr>
      <t>S</t>
    </r>
    <r>
      <rPr>
        <sz val="11"/>
        <color theme="1"/>
        <rFont val="Calibri"/>
        <family val="2"/>
        <scheme val="minor"/>
      </rPr>
      <t>)</t>
    </r>
  </si>
  <si>
    <r>
      <t>Selected current sense Resistor (R</t>
    </r>
    <r>
      <rPr>
        <vertAlign val="subscript"/>
        <sz val="11"/>
        <color theme="1"/>
        <rFont val="Calibri"/>
        <family val="2"/>
        <scheme val="minor"/>
      </rPr>
      <t>S</t>
    </r>
    <r>
      <rPr>
        <sz val="11"/>
        <color theme="1"/>
        <rFont val="Calibri"/>
        <family val="2"/>
        <scheme val="minor"/>
      </rPr>
      <t>)</t>
    </r>
  </si>
  <si>
    <t>CCM</t>
  </si>
  <si>
    <t>DCM</t>
  </si>
  <si>
    <t>Dc_DCM_max_ideal</t>
  </si>
  <si>
    <t>Duty cycle at the mimum input voltage (DCM)</t>
  </si>
  <si>
    <t>Duty cycle at the nominal input voltage (DCM)</t>
  </si>
  <si>
    <t>Duty cycle at the maximum input voltage (DCM)</t>
  </si>
  <si>
    <t>Dc_DCM_VIN_min</t>
  </si>
  <si>
    <t>IL_avg_DCM_VIN_min</t>
  </si>
  <si>
    <t>Dc_DCM_VIN_nom</t>
  </si>
  <si>
    <t>IL_avg_DCM_VIN_nom</t>
  </si>
  <si>
    <t>Dc_DCM_VIN_max</t>
  </si>
  <si>
    <t xml:space="preserve">Duty cycle at the mimum input voltage </t>
  </si>
  <si>
    <t>Duty cycle at the nominal input voltage</t>
  </si>
  <si>
    <t>Duty cycle at the maximum input voltage</t>
  </si>
  <si>
    <t>Dc_CCM_max_ideal</t>
  </si>
  <si>
    <t>Dc_CCM_VIN_min</t>
  </si>
  <si>
    <t>IL_avg_CCM_VIN_min</t>
  </si>
  <si>
    <t>Dc_CCM_VIN_nom</t>
  </si>
  <si>
    <t>IL_avg_CCM_VIN_nom</t>
  </si>
  <si>
    <t>Dc_CCM_VIN_max</t>
  </si>
  <si>
    <t>IL_avg_CCM_VIN_max</t>
  </si>
  <si>
    <t>Selected Mode for Calculation</t>
  </si>
  <si>
    <t>Possible Mode due to Load and L Selection</t>
  </si>
  <si>
    <t xml:space="preserve">Ideal Duty Cycle at VSUPPLY(MIN) </t>
  </si>
  <si>
    <t>CCM/DCM selected</t>
  </si>
  <si>
    <t>Rsl_max</t>
  </si>
  <si>
    <t>Maximum Value of Rsl (DS page 21)</t>
  </si>
  <si>
    <t>Operation Mode</t>
  </si>
  <si>
    <t>Version Number</t>
  </si>
  <si>
    <t>1.0.0</t>
  </si>
  <si>
    <t>Version History</t>
  </si>
  <si>
    <t>Version</t>
  </si>
  <si>
    <t>Change List Description</t>
  </si>
  <si>
    <t>Initial Release</t>
  </si>
  <si>
    <r>
      <t>Desired soft-start time at minimum input voltage (T</t>
    </r>
    <r>
      <rPr>
        <vertAlign val="subscript"/>
        <sz val="11"/>
        <color theme="1"/>
        <rFont val="Calibri"/>
        <family val="2"/>
        <scheme val="minor"/>
      </rPr>
      <t>SS</t>
    </r>
    <r>
      <rPr>
        <sz val="11"/>
        <color theme="1"/>
        <rFont val="Calibri"/>
        <family val="2"/>
        <scheme val="minor"/>
      </rPr>
      <t>)</t>
    </r>
  </si>
  <si>
    <r>
      <t>Select a bottom resistor based on calculated value(R</t>
    </r>
    <r>
      <rPr>
        <vertAlign val="subscript"/>
        <sz val="11"/>
        <color theme="1"/>
        <rFont val="Calibri"/>
        <family val="2"/>
        <scheme val="minor"/>
      </rPr>
      <t>FBB</t>
    </r>
    <r>
      <rPr>
        <sz val="11"/>
        <color theme="1"/>
        <rFont val="Calibri"/>
        <family val="2"/>
        <scheme val="minor"/>
      </rPr>
      <t>)</t>
    </r>
  </si>
  <si>
    <t>1.1.0</t>
  </si>
  <si>
    <t>Added DCM mode</t>
  </si>
  <si>
    <t>Sel_Cond_Mode</t>
  </si>
  <si>
    <t>ConductionMode</t>
  </si>
  <si>
    <t>Gain Cross</t>
  </si>
  <si>
    <t>Phase Cross</t>
  </si>
  <si>
    <t>XOVER SEARCH</t>
  </si>
  <si>
    <t>xover</t>
  </si>
  <si>
    <t>phase margin</t>
  </si>
  <si>
    <r>
      <t>Target Output Voltage, V</t>
    </r>
    <r>
      <rPr>
        <vertAlign val="subscript"/>
        <sz val="10"/>
        <color theme="1"/>
        <rFont val="Calibri"/>
        <family val="2"/>
        <scheme val="minor"/>
      </rPr>
      <t>LOAD</t>
    </r>
    <r>
      <rPr>
        <sz val="10"/>
        <color theme="1"/>
        <rFont val="Calibri"/>
        <family val="2"/>
        <scheme val="minor"/>
      </rPr>
      <t xml:space="preserve"> </t>
    </r>
  </si>
  <si>
    <r>
      <t>Desired Output ripple voltage (</t>
    </r>
    <r>
      <rPr>
        <sz val="11"/>
        <color theme="1"/>
        <rFont val="Calibri"/>
        <family val="2"/>
      </rPr>
      <t>Δv</t>
    </r>
    <r>
      <rPr>
        <vertAlign val="subscript"/>
        <sz val="11"/>
        <color theme="1"/>
        <rFont val="Calibri"/>
        <family val="2"/>
      </rPr>
      <t>OUT</t>
    </r>
    <r>
      <rPr>
        <sz val="11"/>
        <color theme="1"/>
        <rFont val="Calibri"/>
        <family val="2"/>
      </rPr>
      <t>)</t>
    </r>
  </si>
  <si>
    <r>
      <rPr>
        <sz val="11"/>
        <color theme="1"/>
        <rFont val="Calibri"/>
        <family val="2"/>
      </rPr>
      <t>μ</t>
    </r>
    <r>
      <rPr>
        <sz val="11"/>
        <color theme="1"/>
        <rFont val="Calibri"/>
        <family val="2"/>
        <scheme val="minor"/>
      </rPr>
      <t>H</t>
    </r>
  </si>
  <si>
    <r>
      <rPr>
        <sz val="11"/>
        <color theme="1"/>
        <rFont val="Calibri"/>
        <family val="2"/>
      </rPr>
      <t>μ</t>
    </r>
    <r>
      <rPr>
        <sz val="11"/>
        <color theme="1"/>
        <rFont val="Calibri"/>
        <family val="2"/>
        <scheme val="minor"/>
      </rPr>
      <t>F</t>
    </r>
  </si>
  <si>
    <t>wp_hf</t>
  </si>
  <si>
    <t>HF pole used for DCM</t>
  </si>
  <si>
    <t>Fn</t>
  </si>
  <si>
    <t>M</t>
  </si>
  <si>
    <t>Hd</t>
  </si>
  <si>
    <t>tauL</t>
  </si>
  <si>
    <t>Suggested maximum bandwidth</t>
  </si>
  <si>
    <r>
      <t>Selected bandwidth (F</t>
    </r>
    <r>
      <rPr>
        <vertAlign val="subscript"/>
        <sz val="11"/>
        <color theme="1"/>
        <rFont val="Calibri"/>
        <family val="2"/>
        <scheme val="minor"/>
      </rPr>
      <t>CO</t>
    </r>
    <r>
      <rPr>
        <sz val="11"/>
        <color theme="1"/>
        <rFont val="Calibri"/>
        <family val="2"/>
        <scheme val="minor"/>
      </rPr>
      <t>)</t>
    </r>
  </si>
  <si>
    <t>Mode</t>
  </si>
  <si>
    <t>Valid Lm</t>
  </si>
  <si>
    <t>L dcm/ccm</t>
  </si>
  <si>
    <t>min</t>
  </si>
  <si>
    <t>max</t>
  </si>
  <si>
    <t>min10%</t>
  </si>
  <si>
    <t>max10%</t>
  </si>
  <si>
    <t>V in min</t>
  </si>
  <si>
    <t>V in nom</t>
  </si>
  <si>
    <t>DC CCM &lt; DCM</t>
  </si>
  <si>
    <t>CCM/DCM</t>
  </si>
  <si>
    <t>Dc_Mode_Loop_Loop</t>
  </si>
  <si>
    <t>Duty Cycle mode for Loop Comenstation</t>
  </si>
  <si>
    <t>CCM only</t>
  </si>
  <si>
    <t>DCM only</t>
  </si>
  <si>
    <t>ModeCheck</t>
  </si>
  <si>
    <t>Lcalc_VIN_max</t>
  </si>
  <si>
    <t>Lcalc_VIN_nom</t>
  </si>
  <si>
    <t>Inductor at Nominal input voltage</t>
  </si>
  <si>
    <t>Inductor at Maximum input voltage</t>
  </si>
  <si>
    <t>V in max</t>
  </si>
  <si>
    <t>Strategy DCM</t>
  </si>
  <si>
    <t>L_DCM</t>
  </si>
  <si>
    <t>1.1.1</t>
  </si>
  <si>
    <t>Fixed reporting of wrong phase Margin</t>
  </si>
  <si>
    <t>Rev 1.1.1</t>
  </si>
  <si>
    <t>August-2021</t>
  </si>
  <si>
    <t>LM5155/56 DC/DC BOOST Controller Design Tool</t>
  </si>
  <si>
    <t>VIN_op_max_56</t>
  </si>
  <si>
    <t>Maximum BIAS pin operating voltage LM5156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</si>
</sst>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00"/>
    <numFmt numFmtId="166" formatCode="0.000E+00"/>
    <numFmt numFmtId="167" formatCode="0.0000"/>
    <numFmt numFmtId="168" formatCode="0.0000E+00"/>
    <numFmt numFmtId="169" formatCode="0.0"/>
    <numFmt numFmtId="170" formatCode="0.0E+00"/>
  </numFmts>
  <fonts count="44" x14ac:knownFonts="1">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sz val="10"/>
      <name val="Arial"/>
      <family val="2"/>
    </font>
    <font>
      <b/>
      <sz val="10"/>
      <name val="Arial"/>
      <family val="2"/>
    </font>
    <font>
      <b/>
      <sz val="22"/>
      <color indexed="44"/>
      <name val="Arial"/>
      <family val="2"/>
    </font>
    <font>
      <b/>
      <sz val="9"/>
      <color indexed="81"/>
      <name val="Tahoma"/>
      <family val="2"/>
    </font>
    <font>
      <sz val="9"/>
      <color indexed="81"/>
      <name val="Tahoma"/>
      <family val="2"/>
    </font>
    <font>
      <b/>
      <sz val="12"/>
      <color rgb="FF0000FF"/>
      <name val="Arial"/>
      <family val="2"/>
    </font>
    <font>
      <sz val="28"/>
      <color theme="0"/>
      <name val="Calibri"/>
      <family val="2"/>
      <scheme val="minor"/>
    </font>
    <font>
      <b/>
      <sz val="11"/>
      <color indexed="10"/>
      <name val="Tahoma"/>
      <family val="2"/>
    </font>
    <font>
      <sz val="10"/>
      <color theme="1"/>
      <name val="Calibri"/>
      <family val="2"/>
      <scheme val="minor"/>
    </font>
    <font>
      <vertAlign val="subscript"/>
      <sz val="10"/>
      <color theme="1"/>
      <name val="Calibri"/>
      <family val="2"/>
      <scheme val="minor"/>
    </font>
    <font>
      <sz val="11"/>
      <name val="Calibri"/>
      <family val="2"/>
      <scheme val="minor"/>
    </font>
    <font>
      <b/>
      <sz val="11"/>
      <color rgb="FF0070C0"/>
      <name val="Calibri"/>
      <family val="2"/>
      <scheme val="minor"/>
    </font>
    <font>
      <sz val="11"/>
      <color theme="1"/>
      <name val="Calibri"/>
      <family val="2"/>
    </font>
    <font>
      <u/>
      <sz val="11"/>
      <color theme="1"/>
      <name val="Calibri"/>
      <family val="2"/>
      <scheme val="minor"/>
    </font>
    <font>
      <vertAlign val="subscript"/>
      <sz val="11"/>
      <color theme="1"/>
      <name val="Calibri"/>
      <family val="2"/>
      <scheme val="minor"/>
    </font>
    <font>
      <b/>
      <sz val="12"/>
      <color theme="1"/>
      <name val="Calibri"/>
      <family val="2"/>
      <scheme val="minor"/>
    </font>
    <font>
      <vertAlign val="subscript"/>
      <sz val="11"/>
      <color theme="1"/>
      <name val="Calibri"/>
      <family val="2"/>
    </font>
    <font>
      <b/>
      <sz val="11"/>
      <color theme="3" tint="0.39997558519241921"/>
      <name val="Calibri"/>
      <family val="2"/>
      <scheme val="minor"/>
    </font>
    <font>
      <b/>
      <sz val="11"/>
      <color theme="1"/>
      <name val="Calibri"/>
      <family val="2"/>
      <scheme val="minor"/>
    </font>
    <font>
      <sz val="10"/>
      <name val="Calibri"/>
      <family val="2"/>
      <scheme val="minor"/>
    </font>
    <font>
      <b/>
      <sz val="12"/>
      <color rgb="FF00B0F0"/>
      <name val="Calibri"/>
      <family val="2"/>
      <scheme val="minor"/>
    </font>
    <font>
      <b/>
      <sz val="11"/>
      <color rgb="FF00B0F0"/>
      <name val="Calibri"/>
      <family val="2"/>
      <scheme val="minor"/>
    </font>
    <font>
      <b/>
      <sz val="10"/>
      <color rgb="FF00B0F0"/>
      <name val="Arial"/>
      <family val="2"/>
    </font>
    <font>
      <sz val="18"/>
      <color theme="0"/>
      <name val="Calibri"/>
      <family val="2"/>
      <scheme val="minor"/>
    </font>
    <font>
      <vertAlign val="subscript"/>
      <sz val="10"/>
      <name val="Arial"/>
      <family val="2"/>
    </font>
    <font>
      <vertAlign val="subscript"/>
      <sz val="11"/>
      <name val="Calibri"/>
      <family val="2"/>
      <scheme val="minor"/>
    </font>
    <font>
      <b/>
      <sz val="11"/>
      <color theme="4"/>
      <name val="Calibri"/>
      <family val="2"/>
      <scheme val="minor"/>
    </font>
    <font>
      <b/>
      <sz val="9"/>
      <color indexed="10"/>
      <name val="Tahoma"/>
      <family val="2"/>
    </font>
    <font>
      <vertAlign val="subscript"/>
      <sz val="9"/>
      <color indexed="81"/>
      <name val="Tahoma"/>
      <family val="2"/>
    </font>
    <font>
      <sz val="11"/>
      <color indexed="10"/>
      <name val="Calibri"/>
      <family val="2"/>
      <scheme val="minor"/>
    </font>
    <font>
      <sz val="11"/>
      <color rgb="FFFF0000"/>
      <name val="Calibri"/>
      <family val="2"/>
      <scheme val="minor"/>
    </font>
    <font>
      <u/>
      <sz val="11"/>
      <color theme="10"/>
      <name val="Calibri"/>
      <family val="2"/>
      <scheme val="minor"/>
    </font>
    <font>
      <sz val="11"/>
      <color theme="1"/>
      <name val="Arial"/>
      <family val="2"/>
    </font>
    <font>
      <b/>
      <sz val="10"/>
      <color theme="1"/>
      <name val="Arial"/>
      <family val="2"/>
    </font>
    <font>
      <sz val="10"/>
      <color theme="1"/>
      <name val="Arial"/>
      <family val="2"/>
    </font>
    <font>
      <b/>
      <u/>
      <sz val="10"/>
      <color theme="10"/>
      <name val="Arial"/>
      <family val="2"/>
    </font>
    <font>
      <b/>
      <sz val="10"/>
      <color theme="0"/>
      <name val="Arial"/>
      <family val="2"/>
    </font>
    <font>
      <b/>
      <u/>
      <sz val="11"/>
      <color theme="10"/>
      <name val="Arial"/>
      <family val="2"/>
    </font>
    <font>
      <b/>
      <sz val="8"/>
      <color indexed="81"/>
      <name val="Tahoma"/>
      <family val="2"/>
    </font>
    <font>
      <b/>
      <sz val="9"/>
      <color indexed="52"/>
      <name val="Tahoma"/>
      <family val="2"/>
    </font>
  </fonts>
  <fills count="20">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52"/>
        <bgColor indexed="64"/>
      </patternFill>
    </fill>
    <fill>
      <patternFill patternType="solid">
        <fgColor indexed="50"/>
        <bgColor indexed="64"/>
      </patternFill>
    </fill>
    <fill>
      <patternFill patternType="solid">
        <fgColor rgb="FFFF0000"/>
        <bgColor indexed="64"/>
      </patternFill>
    </fill>
    <fill>
      <patternFill patternType="solid">
        <fgColor rgb="FFFFFF00"/>
        <bgColor indexed="64"/>
      </patternFill>
    </fill>
    <fill>
      <patternFill patternType="solid">
        <fgColor theme="0" tint="-0.499984740745262"/>
        <bgColor indexed="64"/>
      </patternFill>
    </fill>
    <fill>
      <patternFill patternType="solid">
        <fgColor rgb="FFFFC000"/>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2" tint="-0.89999084444715716"/>
        <bgColor indexed="64"/>
      </patternFill>
    </fill>
    <fill>
      <patternFill patternType="solid">
        <fgColor theme="0"/>
        <bgColor indexed="64"/>
      </patternFill>
    </fill>
    <fill>
      <patternFill patternType="solid">
        <fgColor theme="1"/>
        <bgColor indexed="64"/>
      </patternFill>
    </fill>
    <fill>
      <patternFill patternType="solid">
        <fgColor rgb="FFDE0000"/>
        <bgColor indexed="64"/>
      </patternFill>
    </fill>
    <fill>
      <patternFill patternType="solid">
        <fgColor indexed="44"/>
        <bgColor indexed="64"/>
      </patternFill>
    </fill>
  </fills>
  <borders count="2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9">
    <xf numFmtId="0" fontId="0" fillId="0" borderId="0"/>
    <xf numFmtId="0" fontId="3" fillId="0" borderId="0"/>
    <xf numFmtId="164" fontId="4" fillId="0" borderId="0" applyFont="0" applyFill="0" applyBorder="0" applyAlignment="0" applyProtection="0"/>
    <xf numFmtId="0" fontId="4" fillId="0" borderId="0"/>
    <xf numFmtId="0" fontId="1" fillId="0" borderId="0"/>
    <xf numFmtId="164" fontId="1" fillId="0" borderId="0" applyFont="0" applyFill="0" applyBorder="0" applyAlignment="0" applyProtection="0"/>
    <xf numFmtId="0" fontId="4" fillId="0" borderId="0"/>
    <xf numFmtId="0" fontId="4" fillId="0" borderId="0"/>
    <xf numFmtId="0" fontId="35" fillId="0" borderId="0" applyNumberFormat="0" applyFill="0" applyBorder="0" applyAlignment="0" applyProtection="0"/>
  </cellStyleXfs>
  <cellXfs count="251">
    <xf numFmtId="0" fontId="0" fillId="0" borderId="0" xfId="0"/>
    <xf numFmtId="0" fontId="0" fillId="9" borderId="0" xfId="0" applyFill="1"/>
    <xf numFmtId="0" fontId="16" fillId="0" borderId="0" xfId="0" applyFont="1"/>
    <xf numFmtId="0" fontId="0" fillId="10" borderId="0" xfId="0" applyFill="1"/>
    <xf numFmtId="0" fontId="4" fillId="0" borderId="0" xfId="3"/>
    <xf numFmtId="0" fontId="5" fillId="0" borderId="0" xfId="3" applyFont="1" applyAlignment="1">
      <alignment horizontal="center"/>
    </xf>
    <xf numFmtId="0" fontId="5" fillId="3" borderId="0" xfId="3" applyFont="1" applyFill="1" applyAlignment="1">
      <alignment horizontal="center"/>
    </xf>
    <xf numFmtId="0" fontId="5" fillId="4" borderId="0" xfId="3" applyFont="1" applyFill="1" applyAlignment="1">
      <alignment horizontal="center"/>
    </xf>
    <xf numFmtId="0" fontId="5" fillId="5" borderId="0" xfId="3" applyFont="1" applyFill="1" applyAlignment="1">
      <alignment horizontal="center"/>
    </xf>
    <xf numFmtId="0" fontId="5" fillId="0" borderId="0" xfId="3" applyFont="1"/>
    <xf numFmtId="0" fontId="9" fillId="0" borderId="0" xfId="3" applyFont="1"/>
    <xf numFmtId="2" fontId="0" fillId="10" borderId="0" xfId="0" applyNumberFormat="1" applyFill="1"/>
    <xf numFmtId="0" fontId="0" fillId="11" borderId="0" xfId="0" applyFill="1"/>
    <xf numFmtId="166" fontId="0" fillId="9" borderId="0" xfId="0" applyNumberFormat="1" applyFill="1"/>
    <xf numFmtId="0" fontId="5" fillId="0" borderId="0" xfId="3" applyFont="1" applyAlignment="1">
      <alignment horizontal="right"/>
    </xf>
    <xf numFmtId="0" fontId="4" fillId="0" borderId="0" xfId="3" applyAlignment="1">
      <alignment horizontal="center"/>
    </xf>
    <xf numFmtId="165" fontId="0" fillId="9" borderId="0" xfId="0" applyNumberFormat="1" applyFill="1"/>
    <xf numFmtId="2" fontId="0" fillId="9" borderId="0" xfId="0" applyNumberFormat="1" applyFill="1"/>
    <xf numFmtId="1" fontId="0" fillId="9" borderId="0" xfId="0" applyNumberFormat="1" applyFill="1"/>
    <xf numFmtId="0" fontId="15" fillId="0" borderId="0" xfId="0" applyFont="1"/>
    <xf numFmtId="165" fontId="0" fillId="0" borderId="0" xfId="0" applyNumberFormat="1"/>
    <xf numFmtId="11" fontId="14" fillId="10" borderId="0" xfId="0" applyNumberFormat="1" applyFont="1" applyFill="1"/>
    <xf numFmtId="0" fontId="17" fillId="0" borderId="0" xfId="0" applyFont="1"/>
    <xf numFmtId="2" fontId="0" fillId="0" borderId="0" xfId="0" applyNumberFormat="1"/>
    <xf numFmtId="168" fontId="0" fillId="9" borderId="0" xfId="0" applyNumberFormat="1" applyFill="1"/>
    <xf numFmtId="11" fontId="0" fillId="9" borderId="0" xfId="0" applyNumberFormat="1" applyFill="1"/>
    <xf numFmtId="0" fontId="5" fillId="0" borderId="0" xfId="3" applyFont="1" applyAlignment="1">
      <alignment horizontal="left"/>
    </xf>
    <xf numFmtId="167" fontId="0" fillId="9" borderId="0" xfId="0" applyNumberFormat="1" applyFill="1"/>
    <xf numFmtId="0" fontId="14" fillId="10" borderId="0" xfId="0" applyFont="1" applyFill="1"/>
    <xf numFmtId="0" fontId="19" fillId="0" borderId="0" xfId="0" applyFont="1"/>
    <xf numFmtId="0" fontId="21" fillId="0" borderId="0" xfId="0" applyFont="1"/>
    <xf numFmtId="0" fontId="0" fillId="12" borderId="0" xfId="0" applyFill="1"/>
    <xf numFmtId="1" fontId="0" fillId="0" borderId="0" xfId="0" applyNumberFormat="1"/>
    <xf numFmtId="0" fontId="22" fillId="0" borderId="0" xfId="0" applyFont="1"/>
    <xf numFmtId="0" fontId="23" fillId="0" borderId="0" xfId="0" applyFont="1"/>
    <xf numFmtId="169" fontId="0" fillId="0" borderId="0" xfId="0" applyNumberFormat="1"/>
    <xf numFmtId="170" fontId="0" fillId="0" borderId="0" xfId="0" applyNumberFormat="1"/>
    <xf numFmtId="0" fontId="0" fillId="0" borderId="13" xfId="0" applyBorder="1"/>
    <xf numFmtId="0" fontId="0" fillId="14" borderId="0" xfId="0" applyFill="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4" fillId="0" borderId="0" xfId="3" applyAlignment="1">
      <alignment horizontal="left"/>
    </xf>
    <xf numFmtId="0" fontId="4" fillId="0" borderId="8" xfId="3" applyBorder="1" applyAlignment="1">
      <alignment horizontal="left"/>
    </xf>
    <xf numFmtId="0" fontId="0" fillId="14" borderId="13" xfId="0" applyFill="1" applyBorder="1"/>
    <xf numFmtId="0" fontId="0" fillId="0" borderId="19" xfId="0" applyBorder="1"/>
    <xf numFmtId="0" fontId="0" fillId="14" borderId="15" xfId="0" applyFill="1" applyBorder="1"/>
    <xf numFmtId="0" fontId="0" fillId="0" borderId="20" xfId="0" applyBorder="1" applyAlignment="1">
      <alignment horizontal="center" wrapText="1"/>
    </xf>
    <xf numFmtId="0" fontId="0" fillId="0" borderId="21" xfId="0" applyBorder="1"/>
    <xf numFmtId="0" fontId="0" fillId="0" borderId="22" xfId="0" applyBorder="1"/>
    <xf numFmtId="0" fontId="14" fillId="0" borderId="0" xfId="0" applyFont="1"/>
    <xf numFmtId="0" fontId="0" fillId="6" borderId="0" xfId="0" applyFill="1" applyProtection="1">
      <protection hidden="1"/>
    </xf>
    <xf numFmtId="0" fontId="10" fillId="6" borderId="0" xfId="0" applyFont="1" applyFill="1" applyAlignment="1" applyProtection="1">
      <alignment horizontal="left" vertical="center"/>
      <protection hidden="1"/>
    </xf>
    <xf numFmtId="0" fontId="0" fillId="6" borderId="0" xfId="0" applyFill="1" applyAlignment="1" applyProtection="1">
      <alignment horizontal="right"/>
      <protection hidden="1"/>
    </xf>
    <xf numFmtId="0" fontId="14" fillId="8" borderId="0" xfId="0" applyFont="1" applyFill="1" applyProtection="1">
      <protection hidden="1"/>
    </xf>
    <xf numFmtId="0" fontId="0" fillId="15" borderId="0" xfId="0" applyFill="1" applyProtection="1">
      <protection hidden="1"/>
    </xf>
    <xf numFmtId="0" fontId="0" fillId="8" borderId="0" xfId="0" applyFill="1" applyProtection="1">
      <protection hidden="1"/>
    </xf>
    <xf numFmtId="0" fontId="0" fillId="8" borderId="0" xfId="0" applyFill="1" applyAlignment="1" applyProtection="1">
      <alignment horizontal="right"/>
      <protection hidden="1"/>
    </xf>
    <xf numFmtId="0" fontId="2" fillId="8" borderId="0" xfId="0" applyFont="1" applyFill="1" applyProtection="1">
      <protection hidden="1"/>
    </xf>
    <xf numFmtId="0" fontId="0" fillId="7" borderId="0" xfId="0" applyFill="1" applyProtection="1">
      <protection hidden="1"/>
    </xf>
    <xf numFmtId="0" fontId="2" fillId="8" borderId="0" xfId="0" quotePrefix="1" applyFont="1" applyFill="1" applyProtection="1">
      <protection hidden="1"/>
    </xf>
    <xf numFmtId="0" fontId="0" fillId="8" borderId="1" xfId="0" applyFill="1" applyBorder="1" applyProtection="1">
      <protection hidden="1"/>
    </xf>
    <xf numFmtId="0" fontId="0" fillId="8" borderId="1" xfId="0" applyFill="1" applyBorder="1" applyAlignment="1" applyProtection="1">
      <alignment horizontal="right"/>
      <protection hidden="1"/>
    </xf>
    <xf numFmtId="0" fontId="14" fillId="8" borderId="1" xfId="0" applyFont="1" applyFill="1" applyBorder="1" applyProtection="1">
      <protection hidden="1"/>
    </xf>
    <xf numFmtId="0" fontId="0" fillId="15" borderId="1" xfId="0" applyFill="1" applyBorder="1" applyProtection="1">
      <protection hidden="1"/>
    </xf>
    <xf numFmtId="0" fontId="0" fillId="16" borderId="0" xfId="0" applyFill="1" applyProtection="1">
      <protection hidden="1"/>
    </xf>
    <xf numFmtId="0" fontId="0" fillId="16" borderId="0" xfId="0" applyFill="1" applyAlignment="1" applyProtection="1">
      <alignment horizontal="right"/>
      <protection hidden="1"/>
    </xf>
    <xf numFmtId="49" fontId="0" fillId="16" borderId="0" xfId="0" applyNumberFormat="1" applyFill="1" applyProtection="1">
      <protection hidden="1"/>
    </xf>
    <xf numFmtId="0" fontId="15" fillId="16" borderId="0" xfId="0" applyFont="1" applyFill="1" applyProtection="1">
      <protection hidden="1"/>
    </xf>
    <xf numFmtId="0" fontId="0" fillId="16" borderId="2" xfId="0" applyFill="1" applyBorder="1" applyProtection="1">
      <protection hidden="1"/>
    </xf>
    <xf numFmtId="0" fontId="0" fillId="16" borderId="3" xfId="0" applyFill="1" applyBorder="1" applyProtection="1">
      <protection hidden="1"/>
    </xf>
    <xf numFmtId="0" fontId="12" fillId="16" borderId="3" xfId="3" applyFont="1" applyFill="1" applyBorder="1" applyAlignment="1" applyProtection="1">
      <alignment horizontal="right"/>
      <protection hidden="1"/>
    </xf>
    <xf numFmtId="0" fontId="0" fillId="16" borderId="4" xfId="0" applyFill="1" applyBorder="1" applyProtection="1">
      <protection hidden="1"/>
    </xf>
    <xf numFmtId="0" fontId="0" fillId="16" borderId="5" xfId="0" applyFill="1" applyBorder="1" applyProtection="1">
      <protection hidden="1"/>
    </xf>
    <xf numFmtId="0" fontId="12" fillId="16" borderId="0" xfId="3" applyFont="1" applyFill="1" applyAlignment="1" applyProtection="1">
      <alignment horizontal="right"/>
      <protection hidden="1"/>
    </xf>
    <xf numFmtId="0" fontId="0" fillId="16" borderId="6" xfId="0" applyFill="1" applyBorder="1" applyProtection="1">
      <protection hidden="1"/>
    </xf>
    <xf numFmtId="0" fontId="12" fillId="16" borderId="5" xfId="0" applyFont="1" applyFill="1" applyBorder="1" applyProtection="1">
      <protection hidden="1"/>
    </xf>
    <xf numFmtId="0" fontId="12" fillId="16" borderId="0" xfId="0" applyFont="1" applyFill="1" applyProtection="1">
      <protection hidden="1"/>
    </xf>
    <xf numFmtId="0" fontId="12" fillId="16" borderId="0" xfId="0" applyFont="1" applyFill="1" applyAlignment="1" applyProtection="1">
      <alignment horizontal="right"/>
      <protection hidden="1"/>
    </xf>
    <xf numFmtId="0" fontId="12" fillId="16" borderId="7" xfId="0" applyFont="1" applyFill="1" applyBorder="1" applyProtection="1">
      <protection hidden="1"/>
    </xf>
    <xf numFmtId="0" fontId="12" fillId="16" borderId="8" xfId="0" applyFont="1" applyFill="1" applyBorder="1" applyProtection="1">
      <protection hidden="1"/>
    </xf>
    <xf numFmtId="0" fontId="0" fillId="16" borderId="8" xfId="0" applyFill="1" applyBorder="1" applyProtection="1">
      <protection hidden="1"/>
    </xf>
    <xf numFmtId="0" fontId="12" fillId="16" borderId="8" xfId="0" applyFont="1" applyFill="1" applyBorder="1" applyAlignment="1" applyProtection="1">
      <alignment horizontal="right"/>
      <protection hidden="1"/>
    </xf>
    <xf numFmtId="0" fontId="0" fillId="16" borderId="9" xfId="0" applyFill="1" applyBorder="1" applyProtection="1">
      <protection hidden="1"/>
    </xf>
    <xf numFmtId="0" fontId="12" fillId="16" borderId="2" xfId="0" applyFont="1" applyFill="1" applyBorder="1" applyProtection="1">
      <protection hidden="1"/>
    </xf>
    <xf numFmtId="0" fontId="12" fillId="16" borderId="3" xfId="0" applyFont="1" applyFill="1" applyBorder="1" applyProtection="1">
      <protection hidden="1"/>
    </xf>
    <xf numFmtId="0" fontId="0" fillId="16" borderId="7" xfId="0" applyFill="1" applyBorder="1" applyProtection="1">
      <protection hidden="1"/>
    </xf>
    <xf numFmtId="0" fontId="12" fillId="16" borderId="8" xfId="3" applyFont="1" applyFill="1" applyBorder="1" applyAlignment="1" applyProtection="1">
      <alignment horizontal="right"/>
      <protection hidden="1"/>
    </xf>
    <xf numFmtId="0" fontId="16" fillId="16" borderId="6" xfId="0" applyFont="1" applyFill="1" applyBorder="1" applyProtection="1">
      <protection hidden="1"/>
    </xf>
    <xf numFmtId="0" fontId="0" fillId="16" borderId="8" xfId="0" applyFill="1" applyBorder="1" applyAlignment="1" applyProtection="1">
      <alignment horizontal="right"/>
      <protection hidden="1"/>
    </xf>
    <xf numFmtId="0" fontId="16" fillId="16" borderId="9" xfId="0" applyFont="1" applyFill="1" applyBorder="1" applyProtection="1">
      <protection hidden="1"/>
    </xf>
    <xf numFmtId="0" fontId="0" fillId="16" borderId="3" xfId="0" applyFill="1" applyBorder="1" applyAlignment="1" applyProtection="1">
      <alignment horizontal="right"/>
      <protection hidden="1"/>
    </xf>
    <xf numFmtId="0" fontId="15" fillId="16" borderId="2" xfId="0" applyFont="1" applyFill="1" applyBorder="1" applyProtection="1">
      <protection hidden="1"/>
    </xf>
    <xf numFmtId="0" fontId="14" fillId="16" borderId="3" xfId="0" applyFont="1" applyFill="1" applyBorder="1" applyAlignment="1" applyProtection="1">
      <alignment horizontal="right"/>
      <protection hidden="1"/>
    </xf>
    <xf numFmtId="0" fontId="15" fillId="16" borderId="5" xfId="0" applyFont="1" applyFill="1" applyBorder="1" applyProtection="1">
      <protection hidden="1"/>
    </xf>
    <xf numFmtId="0" fontId="22" fillId="16" borderId="0" xfId="0" applyFont="1" applyFill="1" applyAlignment="1" applyProtection="1">
      <alignment horizontal="right"/>
      <protection hidden="1"/>
    </xf>
    <xf numFmtId="0" fontId="0" fillId="0" borderId="0" xfId="0" applyProtection="1">
      <protection hidden="1"/>
    </xf>
    <xf numFmtId="0" fontId="0" fillId="16" borderId="0" xfId="0" applyFill="1" applyAlignment="1" applyProtection="1">
      <alignment horizontal="center"/>
      <protection hidden="1"/>
    </xf>
    <xf numFmtId="0" fontId="0" fillId="16" borderId="6" xfId="0" applyFill="1" applyBorder="1" applyAlignment="1" applyProtection="1">
      <alignment horizontal="center"/>
      <protection hidden="1"/>
    </xf>
    <xf numFmtId="1" fontId="0" fillId="16" borderId="0" xfId="0" applyNumberFormat="1" applyFill="1" applyProtection="1">
      <protection hidden="1"/>
    </xf>
    <xf numFmtId="0" fontId="27" fillId="13" borderId="0" xfId="0" applyFont="1" applyFill="1" applyProtection="1">
      <protection hidden="1"/>
    </xf>
    <xf numFmtId="0" fontId="0" fillId="13" borderId="0" xfId="0" applyFill="1" applyProtection="1">
      <protection hidden="1"/>
    </xf>
    <xf numFmtId="0" fontId="0" fillId="13" borderId="0" xfId="0" applyFill="1" applyAlignment="1" applyProtection="1">
      <alignment horizontal="right"/>
      <protection hidden="1"/>
    </xf>
    <xf numFmtId="0" fontId="0" fillId="17" borderId="0" xfId="0" applyFill="1" applyProtection="1">
      <protection hidden="1"/>
    </xf>
    <xf numFmtId="0" fontId="30" fillId="16" borderId="0" xfId="0" applyFont="1" applyFill="1" applyAlignment="1" applyProtection="1">
      <alignment horizontal="left"/>
      <protection hidden="1"/>
    </xf>
    <xf numFmtId="0" fontId="4" fillId="16" borderId="3" xfId="3" applyFill="1" applyBorder="1" applyAlignment="1" applyProtection="1">
      <alignment horizontal="right"/>
      <protection hidden="1"/>
    </xf>
    <xf numFmtId="0" fontId="4" fillId="16" borderId="4" xfId="3" applyFill="1" applyBorder="1" applyProtection="1">
      <protection hidden="1"/>
    </xf>
    <xf numFmtId="0" fontId="4" fillId="16" borderId="0" xfId="3" applyFill="1" applyAlignment="1" applyProtection="1">
      <alignment horizontal="right"/>
      <protection hidden="1"/>
    </xf>
    <xf numFmtId="0" fontId="4" fillId="16" borderId="6" xfId="3" applyFill="1" applyBorder="1" applyProtection="1">
      <protection hidden="1"/>
    </xf>
    <xf numFmtId="0" fontId="4" fillId="16" borderId="8" xfId="3" applyFill="1" applyBorder="1" applyAlignment="1" applyProtection="1">
      <alignment horizontal="right"/>
      <protection hidden="1"/>
    </xf>
    <xf numFmtId="0" fontId="4" fillId="16" borderId="9" xfId="3" applyFill="1" applyBorder="1" applyProtection="1">
      <protection hidden="1"/>
    </xf>
    <xf numFmtId="0" fontId="0" fillId="15" borderId="0" xfId="0" applyFill="1" applyAlignment="1" applyProtection="1">
      <alignment horizontal="right"/>
      <protection hidden="1"/>
    </xf>
    <xf numFmtId="0" fontId="14" fillId="15" borderId="0" xfId="0" applyFont="1" applyFill="1" applyProtection="1">
      <protection hidden="1"/>
    </xf>
    <xf numFmtId="0" fontId="34" fillId="16" borderId="0" xfId="0" applyFont="1" applyFill="1" applyProtection="1">
      <protection hidden="1"/>
    </xf>
    <xf numFmtId="0" fontId="0" fillId="7" borderId="24" xfId="0" applyFill="1" applyBorder="1" applyProtection="1">
      <protection locked="0" hidden="1"/>
    </xf>
    <xf numFmtId="0" fontId="0" fillId="7" borderId="25" xfId="0" applyFill="1" applyBorder="1" applyProtection="1">
      <protection locked="0" hidden="1"/>
    </xf>
    <xf numFmtId="2" fontId="0" fillId="16" borderId="25" xfId="0" applyNumberFormat="1" applyFill="1" applyBorder="1" applyProtection="1">
      <protection hidden="1"/>
    </xf>
    <xf numFmtId="0" fontId="0" fillId="16" borderId="25" xfId="0" applyFill="1" applyBorder="1" applyProtection="1">
      <protection hidden="1"/>
    </xf>
    <xf numFmtId="165" fontId="0" fillId="0" borderId="25" xfId="0" applyNumberFormat="1" applyBorder="1" applyProtection="1">
      <protection hidden="1"/>
    </xf>
    <xf numFmtId="2" fontId="0" fillId="0" borderId="26" xfId="0" applyNumberFormat="1" applyBorder="1" applyProtection="1">
      <protection hidden="1"/>
    </xf>
    <xf numFmtId="1" fontId="0" fillId="16" borderId="25" xfId="0" applyNumberFormat="1" applyFill="1" applyBorder="1" applyProtection="1">
      <protection hidden="1"/>
    </xf>
    <xf numFmtId="2" fontId="0" fillId="16" borderId="26" xfId="0" applyNumberFormat="1" applyFill="1" applyBorder="1" applyProtection="1">
      <protection hidden="1"/>
    </xf>
    <xf numFmtId="0" fontId="0" fillId="7" borderId="26" xfId="0" applyFill="1" applyBorder="1" applyProtection="1">
      <protection locked="0" hidden="1"/>
    </xf>
    <xf numFmtId="2" fontId="0" fillId="0" borderId="25" xfId="0" applyNumberFormat="1" applyBorder="1" applyProtection="1">
      <protection hidden="1"/>
    </xf>
    <xf numFmtId="2" fontId="0" fillId="0" borderId="24" xfId="0" applyNumberFormat="1" applyBorder="1" applyProtection="1">
      <protection hidden="1"/>
    </xf>
    <xf numFmtId="1" fontId="0" fillId="0" borderId="26" xfId="0" applyNumberFormat="1" applyBorder="1" applyProtection="1">
      <protection hidden="1"/>
    </xf>
    <xf numFmtId="0" fontId="0" fillId="7" borderId="24" xfId="0" applyFill="1" applyBorder="1" applyAlignment="1" applyProtection="1">
      <alignment vertical="top"/>
      <protection hidden="1"/>
    </xf>
    <xf numFmtId="0" fontId="0" fillId="0" borderId="25" xfId="0" applyBorder="1" applyAlignment="1" applyProtection="1">
      <alignment vertical="top"/>
      <protection hidden="1"/>
    </xf>
    <xf numFmtId="0" fontId="0" fillId="16" borderId="25" xfId="0" applyFill="1" applyBorder="1" applyAlignment="1" applyProtection="1">
      <alignment horizontal="center"/>
      <protection hidden="1"/>
    </xf>
    <xf numFmtId="1" fontId="0" fillId="16" borderId="7" xfId="0" applyNumberFormat="1" applyFill="1" applyBorder="1" applyProtection="1">
      <protection hidden="1"/>
    </xf>
    <xf numFmtId="0" fontId="0" fillId="7" borderId="23" xfId="0" applyFill="1" applyBorder="1" applyProtection="1">
      <protection locked="0" hidden="1"/>
    </xf>
    <xf numFmtId="2" fontId="0" fillId="16" borderId="10" xfId="0" applyNumberFormat="1" applyFill="1" applyBorder="1" applyProtection="1">
      <protection hidden="1"/>
    </xf>
    <xf numFmtId="0" fontId="0" fillId="0" borderId="24" xfId="0" applyBorder="1" applyProtection="1">
      <protection hidden="1"/>
    </xf>
    <xf numFmtId="0" fontId="16" fillId="16" borderId="23" xfId="0" applyFont="1" applyFill="1" applyBorder="1" applyAlignment="1" applyProtection="1">
      <alignment horizontal="left"/>
      <protection hidden="1"/>
    </xf>
    <xf numFmtId="0" fontId="0" fillId="16" borderId="26" xfId="0" applyFill="1" applyBorder="1" applyAlignment="1" applyProtection="1">
      <alignment horizontal="left"/>
      <protection hidden="1"/>
    </xf>
    <xf numFmtId="48" fontId="0" fillId="0" borderId="0" xfId="0" applyNumberFormat="1"/>
    <xf numFmtId="0" fontId="0" fillId="7" borderId="26" xfId="0" applyFill="1" applyBorder="1" applyAlignment="1" applyProtection="1">
      <alignment horizontal="right"/>
      <protection locked="0" hidden="1"/>
    </xf>
    <xf numFmtId="0" fontId="3" fillId="3" borderId="0" xfId="3" applyFont="1" applyFill="1" applyAlignment="1">
      <alignment horizontal="right"/>
    </xf>
    <xf numFmtId="2" fontId="0" fillId="9" borderId="0" xfId="0" applyNumberFormat="1" applyFill="1" applyAlignment="1">
      <alignment horizontal="right"/>
    </xf>
    <xf numFmtId="169" fontId="0" fillId="16" borderId="10" xfId="0" applyNumberFormat="1" applyFill="1" applyBorder="1" applyProtection="1">
      <protection hidden="1"/>
    </xf>
    <xf numFmtId="1" fontId="0" fillId="16" borderId="26" xfId="0" applyNumberFormat="1" applyFill="1" applyBorder="1" applyProtection="1">
      <protection hidden="1"/>
    </xf>
    <xf numFmtId="4" fontId="0" fillId="16" borderId="25" xfId="0" applyNumberFormat="1" applyFill="1" applyBorder="1" applyProtection="1">
      <protection hidden="1"/>
    </xf>
    <xf numFmtId="0" fontId="36" fillId="0" borderId="0" xfId="0" applyFont="1"/>
    <xf numFmtId="0" fontId="37" fillId="0" borderId="0" xfId="0" applyFont="1" applyAlignment="1">
      <alignment horizontal="center"/>
    </xf>
    <xf numFmtId="0" fontId="37" fillId="0" borderId="0" xfId="0" applyFont="1" applyAlignment="1">
      <alignment horizontal="left"/>
    </xf>
    <xf numFmtId="0" fontId="38" fillId="0" borderId="0" xfId="0" applyFont="1"/>
    <xf numFmtId="0" fontId="39" fillId="0" borderId="0" xfId="8" applyFont="1" applyFill="1" applyBorder="1" applyAlignment="1">
      <alignment vertical="center"/>
    </xf>
    <xf numFmtId="0" fontId="39" fillId="0" borderId="0" xfId="8" applyFont="1" applyFill="1" applyBorder="1" applyAlignment="1">
      <alignment horizontal="right" vertical="center"/>
    </xf>
    <xf numFmtId="0" fontId="36" fillId="0" borderId="0" xfId="0" applyFont="1" applyAlignment="1">
      <alignment horizontal="center"/>
    </xf>
    <xf numFmtId="0" fontId="36" fillId="0" borderId="0" xfId="0" applyFont="1" applyAlignment="1">
      <alignment horizontal="left"/>
    </xf>
    <xf numFmtId="0" fontId="38" fillId="0" borderId="0" xfId="0" applyFont="1" applyAlignment="1">
      <alignment horizontal="center"/>
    </xf>
    <xf numFmtId="0" fontId="3" fillId="0" borderId="0" xfId="0" applyFont="1"/>
    <xf numFmtId="0" fontId="40" fillId="17" borderId="0" xfId="0" applyFont="1" applyFill="1" applyAlignment="1">
      <alignment horizontal="center"/>
    </xf>
    <xf numFmtId="0" fontId="41" fillId="0" borderId="0" xfId="8" applyFont="1" applyFill="1" applyBorder="1" applyAlignment="1">
      <alignment vertical="center"/>
    </xf>
    <xf numFmtId="49" fontId="38" fillId="0" borderId="0" xfId="0" applyNumberFormat="1" applyFont="1" applyAlignment="1">
      <alignment horizontal="center"/>
    </xf>
    <xf numFmtId="49" fontId="37" fillId="0" borderId="0" xfId="0" applyNumberFormat="1" applyFont="1" applyAlignment="1">
      <alignment horizontal="left"/>
    </xf>
    <xf numFmtId="0" fontId="5" fillId="0" borderId="0" xfId="3" applyFont="1" applyAlignment="1" applyProtection="1">
      <alignment horizontal="center"/>
      <protection hidden="1"/>
    </xf>
    <xf numFmtId="0" fontId="5" fillId="3" borderId="0" xfId="3" applyFont="1" applyFill="1" applyAlignment="1" applyProtection="1">
      <alignment horizontal="center"/>
      <protection hidden="1"/>
    </xf>
    <xf numFmtId="0" fontId="4" fillId="0" borderId="0" xfId="3" applyProtection="1">
      <protection hidden="1"/>
    </xf>
    <xf numFmtId="0" fontId="5" fillId="4" borderId="0" xfId="3" applyFont="1" applyFill="1" applyAlignment="1" applyProtection="1">
      <alignment horizontal="center"/>
      <protection hidden="1"/>
    </xf>
    <xf numFmtId="0" fontId="5" fillId="0" borderId="0" xfId="3" applyFont="1" applyAlignment="1" applyProtection="1">
      <alignment horizontal="right"/>
      <protection hidden="1"/>
    </xf>
    <xf numFmtId="0" fontId="4" fillId="0" borderId="0" xfId="3" applyAlignment="1" applyProtection="1">
      <alignment horizontal="center"/>
      <protection hidden="1"/>
    </xf>
    <xf numFmtId="0" fontId="5" fillId="0" borderId="0" xfId="3" applyFont="1" applyAlignment="1" applyProtection="1">
      <alignment horizontal="left"/>
      <protection hidden="1"/>
    </xf>
    <xf numFmtId="0" fontId="5" fillId="5" borderId="0" xfId="3" applyFont="1" applyFill="1" applyAlignment="1" applyProtection="1">
      <alignment horizontal="center"/>
      <protection hidden="1"/>
    </xf>
    <xf numFmtId="0" fontId="0" fillId="0" borderId="10" xfId="0" applyBorder="1" applyProtection="1">
      <protection hidden="1"/>
    </xf>
    <xf numFmtId="0" fontId="0" fillId="0" borderId="12" xfId="0" applyBorder="1" applyProtection="1">
      <protection hidden="1"/>
    </xf>
    <xf numFmtId="0" fontId="0" fillId="0" borderId="5" xfId="0" applyBorder="1" applyProtection="1">
      <protection hidden="1"/>
    </xf>
    <xf numFmtId="0" fontId="0" fillId="0" borderId="6" xfId="0" applyBorder="1" applyProtection="1">
      <protection hidden="1"/>
    </xf>
    <xf numFmtId="0" fontId="5" fillId="0" borderId="0" xfId="3" applyFont="1" applyProtection="1">
      <protection hidden="1"/>
    </xf>
    <xf numFmtId="0" fontId="4" fillId="0" borderId="5" xfId="3" applyBorder="1" applyProtection="1">
      <protection hidden="1"/>
    </xf>
    <xf numFmtId="0" fontId="4" fillId="0" borderId="6" xfId="3" applyBorder="1" applyProtection="1">
      <protection hidden="1"/>
    </xf>
    <xf numFmtId="165" fontId="4" fillId="0" borderId="11" xfId="3" applyNumberFormat="1" applyBorder="1" applyProtection="1">
      <protection hidden="1"/>
    </xf>
    <xf numFmtId="0" fontId="4" fillId="0" borderId="11" xfId="3" applyBorder="1" applyProtection="1">
      <protection hidden="1"/>
    </xf>
    <xf numFmtId="0" fontId="0" fillId="0" borderId="11" xfId="0" applyBorder="1" applyProtection="1">
      <protection hidden="1"/>
    </xf>
    <xf numFmtId="0" fontId="4" fillId="0" borderId="10" xfId="3" applyBorder="1" applyProtection="1">
      <protection hidden="1"/>
    </xf>
    <xf numFmtId="165" fontId="0" fillId="0" borderId="11" xfId="0" applyNumberFormat="1" applyBorder="1" applyProtection="1">
      <protection hidden="1"/>
    </xf>
    <xf numFmtId="0" fontId="26" fillId="0" borderId="0" xfId="3" applyFont="1" applyProtection="1">
      <protection hidden="1"/>
    </xf>
    <xf numFmtId="0" fontId="0" fillId="0" borderId="2" xfId="0" applyBorder="1" applyProtection="1">
      <protection hidden="1"/>
    </xf>
    <xf numFmtId="1" fontId="0" fillId="0" borderId="4" xfId="0" applyNumberFormat="1" applyBorder="1" applyProtection="1">
      <protection hidden="1"/>
    </xf>
    <xf numFmtId="165" fontId="4" fillId="0" borderId="3" xfId="3" applyNumberFormat="1" applyBorder="1" applyProtection="1">
      <protection hidden="1"/>
    </xf>
    <xf numFmtId="0" fontId="4" fillId="0" borderId="3" xfId="3" applyBorder="1" applyProtection="1">
      <protection hidden="1"/>
    </xf>
    <xf numFmtId="0" fontId="0" fillId="0" borderId="3" xfId="0" applyBorder="1" applyProtection="1">
      <protection hidden="1"/>
    </xf>
    <xf numFmtId="0" fontId="4" fillId="0" borderId="2" xfId="3" applyBorder="1" applyProtection="1">
      <protection hidden="1"/>
    </xf>
    <xf numFmtId="165" fontId="0" fillId="0" borderId="3" xfId="0" applyNumberFormat="1" applyBorder="1" applyProtection="1">
      <protection hidden="1"/>
    </xf>
    <xf numFmtId="0" fontId="0" fillId="0" borderId="4" xfId="0" applyBorder="1" applyProtection="1">
      <protection hidden="1"/>
    </xf>
    <xf numFmtId="0" fontId="0" fillId="10" borderId="0" xfId="0" applyFill="1" applyProtection="1">
      <protection hidden="1"/>
    </xf>
    <xf numFmtId="1" fontId="0" fillId="0" borderId="6" xfId="0" applyNumberFormat="1" applyBorder="1" applyProtection="1">
      <protection hidden="1"/>
    </xf>
    <xf numFmtId="165" fontId="4" fillId="0" borderId="0" xfId="3" applyNumberFormat="1" applyProtection="1">
      <protection hidden="1"/>
    </xf>
    <xf numFmtId="165" fontId="0" fillId="0" borderId="0" xfId="0" applyNumberFormat="1" applyProtection="1">
      <protection hidden="1"/>
    </xf>
    <xf numFmtId="0" fontId="0" fillId="0" borderId="7" xfId="0" applyBorder="1" applyProtection="1">
      <protection hidden="1"/>
    </xf>
    <xf numFmtId="1" fontId="0" fillId="0" borderId="9" xfId="0" applyNumberFormat="1" applyBorder="1" applyProtection="1">
      <protection hidden="1"/>
    </xf>
    <xf numFmtId="165" fontId="4" fillId="0" borderId="8" xfId="3" applyNumberFormat="1" applyBorder="1" applyProtection="1">
      <protection hidden="1"/>
    </xf>
    <xf numFmtId="0" fontId="4" fillId="0" borderId="8" xfId="3" applyBorder="1" applyProtection="1">
      <protection hidden="1"/>
    </xf>
    <xf numFmtId="0" fontId="0" fillId="0" borderId="8" xfId="0" applyBorder="1" applyProtection="1">
      <protection hidden="1"/>
    </xf>
    <xf numFmtId="0" fontId="4" fillId="0" borderId="7" xfId="3" applyBorder="1" applyProtection="1">
      <protection hidden="1"/>
    </xf>
    <xf numFmtId="165" fontId="0" fillId="0" borderId="8" xfId="0" applyNumberFormat="1" applyBorder="1" applyProtection="1">
      <protection hidden="1"/>
    </xf>
    <xf numFmtId="0" fontId="0" fillId="0" borderId="9" xfId="0" applyBorder="1" applyProtection="1">
      <protection hidden="1"/>
    </xf>
    <xf numFmtId="2" fontId="0" fillId="0" borderId="0" xfId="0" applyNumberFormat="1" applyProtection="1">
      <protection hidden="1"/>
    </xf>
    <xf numFmtId="0" fontId="25" fillId="0" borderId="0" xfId="0" applyFont="1" applyProtection="1">
      <protection hidden="1"/>
    </xf>
    <xf numFmtId="2" fontId="0" fillId="0" borderId="10" xfId="0" applyNumberFormat="1" applyBorder="1" applyProtection="1">
      <protection hidden="1"/>
    </xf>
    <xf numFmtId="2" fontId="0" fillId="0" borderId="5" xfId="0" applyNumberFormat="1" applyBorder="1" applyProtection="1">
      <protection hidden="1"/>
    </xf>
    <xf numFmtId="2" fontId="0" fillId="0" borderId="7" xfId="0" applyNumberFormat="1" applyBorder="1" applyProtection="1">
      <protection hidden="1"/>
    </xf>
    <xf numFmtId="0" fontId="4" fillId="0" borderId="9" xfId="3" applyBorder="1" applyProtection="1">
      <protection hidden="1"/>
    </xf>
    <xf numFmtId="0" fontId="0" fillId="12" borderId="0" xfId="0" applyFill="1" applyProtection="1">
      <protection hidden="1"/>
    </xf>
    <xf numFmtId="0" fontId="16" fillId="0" borderId="0" xfId="0" applyFont="1" applyProtection="1">
      <protection hidden="1"/>
    </xf>
    <xf numFmtId="0" fontId="0" fillId="11" borderId="0" xfId="0" applyFill="1" applyProtection="1">
      <protection hidden="1"/>
    </xf>
    <xf numFmtId="165" fontId="0" fillId="9" borderId="0" xfId="0" applyNumberFormat="1" applyFill="1" applyProtection="1">
      <protection hidden="1"/>
    </xf>
    <xf numFmtId="1" fontId="0" fillId="9" borderId="0" xfId="0" applyNumberFormat="1" applyFill="1" applyProtection="1">
      <protection hidden="1"/>
    </xf>
    <xf numFmtId="2" fontId="0" fillId="9" borderId="0" xfId="0" applyNumberFormat="1" applyFill="1" applyProtection="1">
      <protection hidden="1"/>
    </xf>
    <xf numFmtId="0" fontId="0" fillId="9" borderId="0" xfId="0" applyFill="1" applyProtection="1">
      <protection hidden="1"/>
    </xf>
    <xf numFmtId="0" fontId="24" fillId="0" borderId="0" xfId="0" applyFont="1" applyProtection="1">
      <protection hidden="1"/>
    </xf>
    <xf numFmtId="0" fontId="0" fillId="19" borderId="0" xfId="0" applyFill="1"/>
    <xf numFmtId="0" fontId="0" fillId="0" borderId="5" xfId="0" applyBorder="1"/>
    <xf numFmtId="0" fontId="5" fillId="0" borderId="0" xfId="0" applyFont="1"/>
    <xf numFmtId="2" fontId="3" fillId="0" borderId="0" xfId="0" quotePrefix="1" applyNumberFormat="1" applyFont="1"/>
    <xf numFmtId="0" fontId="0" fillId="0" borderId="0" xfId="0" applyAlignment="1">
      <alignment horizontal="left"/>
    </xf>
    <xf numFmtId="0" fontId="5" fillId="0" borderId="0" xfId="0" applyFont="1" applyAlignment="1">
      <alignment horizontal="left"/>
    </xf>
    <xf numFmtId="165" fontId="0" fillId="0" borderId="26" xfId="0" applyNumberFormat="1" applyBorder="1" applyAlignment="1" applyProtection="1">
      <alignment horizontal="right"/>
      <protection hidden="1"/>
    </xf>
    <xf numFmtId="169" fontId="0" fillId="16" borderId="25" xfId="0" applyNumberFormat="1" applyFill="1" applyBorder="1" applyProtection="1">
      <protection hidden="1"/>
    </xf>
    <xf numFmtId="0" fontId="0" fillId="0" borderId="27" xfId="0" applyBorder="1"/>
    <xf numFmtId="0" fontId="0" fillId="0" borderId="28" xfId="0" applyBorder="1"/>
    <xf numFmtId="0" fontId="0" fillId="0" borderId="24" xfId="0" applyBorder="1"/>
    <xf numFmtId="0" fontId="4" fillId="0" borderId="25" xfId="3" applyBorder="1"/>
    <xf numFmtId="2" fontId="4" fillId="0" borderId="25" xfId="3" applyNumberFormat="1" applyBorder="1" applyAlignment="1">
      <alignment horizontal="center"/>
    </xf>
    <xf numFmtId="0" fontId="38" fillId="0" borderId="0" xfId="0" applyFont="1" applyAlignment="1">
      <alignment wrapText="1"/>
    </xf>
    <xf numFmtId="48" fontId="0" fillId="9" borderId="0" xfId="0" applyNumberFormat="1" applyFill="1"/>
    <xf numFmtId="0" fontId="35" fillId="8" borderId="0" xfId="8" applyFill="1" applyBorder="1" applyAlignment="1" applyProtection="1">
      <alignment horizontal="center"/>
      <protection hidden="1"/>
    </xf>
    <xf numFmtId="0" fontId="6" fillId="2" borderId="0" xfId="3" applyFont="1" applyFill="1" applyAlignment="1">
      <alignment horizontal="center"/>
    </xf>
    <xf numFmtId="0" fontId="5" fillId="0" borderId="0" xfId="3" applyFont="1" applyAlignment="1">
      <alignment horizontal="center"/>
    </xf>
    <xf numFmtId="0" fontId="0" fillId="0" borderId="20" xfId="0" applyBorder="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6" fillId="2" borderId="0" xfId="3" applyFont="1" applyFill="1" applyAlignment="1" applyProtection="1">
      <alignment horizontal="center"/>
      <protection hidden="1"/>
    </xf>
    <xf numFmtId="0" fontId="5" fillId="0" borderId="0" xfId="3" applyFont="1" applyAlignment="1" applyProtection="1">
      <alignment horizontal="center"/>
      <protection hidden="1"/>
    </xf>
    <xf numFmtId="0" fontId="4" fillId="0" borderId="0" xfId="3" applyAlignment="1" applyProtection="1">
      <alignment horizontal="center"/>
      <protection hidden="1"/>
    </xf>
    <xf numFmtId="0" fontId="0" fillId="0" borderId="0" xfId="0" applyAlignment="1" applyProtection="1">
      <alignment horizontal="center"/>
      <protection hidden="1"/>
    </xf>
    <xf numFmtId="0" fontId="22" fillId="0" borderId="11" xfId="0" applyFont="1" applyBorder="1" applyAlignment="1" applyProtection="1">
      <alignment horizontal="center"/>
      <protection hidden="1"/>
    </xf>
    <xf numFmtId="0" fontId="22" fillId="0" borderId="12" xfId="0" applyFont="1" applyBorder="1" applyAlignment="1" applyProtection="1">
      <alignment horizontal="center"/>
      <protection hidden="1"/>
    </xf>
    <xf numFmtId="0" fontId="22" fillId="0" borderId="10" xfId="0" applyFont="1" applyBorder="1" applyAlignment="1" applyProtection="1">
      <alignment horizontal="center"/>
      <protection hidden="1"/>
    </xf>
    <xf numFmtId="0" fontId="0" fillId="0" borderId="5" xfId="0" applyBorder="1" applyAlignment="1" applyProtection="1">
      <alignment horizontal="center"/>
      <protection hidden="1"/>
    </xf>
    <xf numFmtId="0" fontId="0" fillId="0" borderId="6" xfId="0" applyBorder="1" applyAlignment="1" applyProtection="1">
      <alignment horizontal="center"/>
      <protection hidden="1"/>
    </xf>
    <xf numFmtId="0" fontId="36" fillId="0" borderId="0" xfId="0" applyFont="1" applyAlignment="1">
      <alignment horizontal="center"/>
    </xf>
    <xf numFmtId="0" fontId="36" fillId="18" borderId="0" xfId="0" applyFont="1" applyFill="1" applyAlignment="1">
      <alignment horizontal="center"/>
    </xf>
    <xf numFmtId="0" fontId="40" fillId="17" borderId="0" xfId="0" applyFont="1" applyFill="1" applyAlignment="1">
      <alignment horizontal="left"/>
    </xf>
    <xf numFmtId="0" fontId="38" fillId="0" borderId="0" xfId="0" applyFont="1" applyAlignment="1">
      <alignment horizontal="left"/>
    </xf>
    <xf numFmtId="0" fontId="38" fillId="0" borderId="0" xfId="0" applyFont="1" applyAlignment="1">
      <alignment wrapText="1"/>
    </xf>
  </cellXfs>
  <cellStyles count="9">
    <cellStyle name="Comma 2" xfId="5" xr:uid="{00000000-0005-0000-0000-000000000000}"/>
    <cellStyle name="Comma 3" xfId="2" xr:uid="{00000000-0005-0000-0000-000001000000}"/>
    <cellStyle name="Hyperlink" xfId="8" builtinId="8"/>
    <cellStyle name="Normal" xfId="0" builtinId="0"/>
    <cellStyle name="Normal 2" xfId="3" xr:uid="{00000000-0005-0000-0000-000003000000}"/>
    <cellStyle name="Normal 3" xfId="4" xr:uid="{00000000-0005-0000-0000-000004000000}"/>
    <cellStyle name="Normal 4" xfId="1" xr:uid="{00000000-0005-0000-0000-000005000000}"/>
    <cellStyle name="Normal 4 2" xfId="7" xr:uid="{00000000-0005-0000-0000-000006000000}"/>
    <cellStyle name="Normal 4 3" xfId="6" xr:uid="{00000000-0005-0000-0000-000007000000}"/>
  </cellStyles>
  <dxfs count="11">
    <dxf>
      <fill>
        <patternFill>
          <bgColor rgb="FFFF0000"/>
        </patternFill>
      </fill>
    </dxf>
    <dxf>
      <fill>
        <patternFill>
          <bgColor rgb="FFFF0000"/>
        </patternFill>
      </fill>
    </dxf>
    <dxf>
      <font>
        <color rgb="FFC00000"/>
      </font>
      <fill>
        <patternFill>
          <bgColor theme="5" tint="0.59996337778862885"/>
        </patternFill>
      </fill>
    </dxf>
    <dxf>
      <font>
        <color rgb="FF9C0006"/>
      </font>
      <fill>
        <patternFill>
          <bgColor rgb="FFFFC7CE"/>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ont>
        <color auto="1"/>
      </font>
      <fill>
        <patternFill>
          <bgColor rgb="FFFFC000"/>
        </patternFill>
      </fill>
    </dxf>
    <dxf>
      <fill>
        <patternFill>
          <bgColor rgb="FFFF0000"/>
        </patternFill>
      </fill>
    </dxf>
  </dxfs>
  <tableStyles count="0" defaultTableStyle="TableStyleMedium2" defaultPivotStyle="PivotStyleLight16"/>
  <colors>
    <mruColors>
      <color rgb="FF9C0006"/>
      <color rgb="FFFFC7CE"/>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baseline="0"/>
              <a:t>Bode Plot</a:t>
            </a:r>
          </a:p>
        </c:rich>
      </c:tx>
      <c:layout>
        <c:manualLayout>
          <c:xMode val="edge"/>
          <c:yMode val="edge"/>
          <c:x val="9.4354157174953393E-2"/>
          <c:y val="3.9916010498687662E-3"/>
        </c:manualLayout>
      </c:layout>
      <c:overlay val="0"/>
    </c:title>
    <c:autoTitleDeleted val="0"/>
    <c:plotArea>
      <c:layout>
        <c:manualLayout>
          <c:layoutTarget val="inner"/>
          <c:xMode val="edge"/>
          <c:yMode val="edge"/>
          <c:x val="9.0594052720499751E-2"/>
          <c:y val="8.9158108013693851E-2"/>
          <c:w val="0.80965876742891785"/>
          <c:h val="0.76159168715027026"/>
        </c:manualLayout>
      </c:layout>
      <c:scatterChart>
        <c:scatterStyle val="smoothMarker"/>
        <c:varyColors val="0"/>
        <c:ser>
          <c:idx val="0"/>
          <c:order val="0"/>
          <c:tx>
            <c:v>Gain (dB)</c:v>
          </c:tx>
          <c:spPr>
            <a:ln w="28575">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Loop_Modeling!$AT$19:$AT$560</c:f>
              <c:numCache>
                <c:formatCode>0.000</c:formatCode>
                <c:ptCount val="542"/>
                <c:pt idx="0">
                  <c:v>78.261275474228626</c:v>
                </c:pt>
                <c:pt idx="1">
                  <c:v>78.024717177601431</c:v>
                </c:pt>
                <c:pt idx="2">
                  <c:v>77.786796511140082</c:v>
                </c:pt>
                <c:pt idx="3">
                  <c:v>77.54747683877072</c:v>
                </c:pt>
                <c:pt idx="4">
                  <c:v>77.306721618118843</c:v>
                </c:pt>
                <c:pt idx="5">
                  <c:v>77.064494492243341</c:v>
                </c:pt>
                <c:pt idx="6">
                  <c:v>76.820759386278098</c:v>
                </c:pt>
                <c:pt idx="7">
                  <c:v>76.575480608784545</c:v>
                </c:pt>
                <c:pt idx="8">
                  <c:v>76.328622957567291</c:v>
                </c:pt>
                <c:pt idx="9">
                  <c:v>76.080151829652905</c:v>
                </c:pt>
                <c:pt idx="10">
                  <c:v>75.830033335079904</c:v>
                </c:pt>
                <c:pt idx="11">
                  <c:v>75.578234414091966</c:v>
                </c:pt>
                <c:pt idx="12">
                  <c:v>75.324722957276677</c:v>
                </c:pt>
                <c:pt idx="13">
                  <c:v>75.069467928137797</c:v>
                </c:pt>
                <c:pt idx="14">
                  <c:v>74.81243948754036</c:v>
                </c:pt>
                <c:pt idx="15">
                  <c:v>74.553609119422248</c:v>
                </c:pt>
                <c:pt idx="16">
                  <c:v>74.292949757119857</c:v>
                </c:pt>
                <c:pt idx="17">
                  <c:v>74.030435909621616</c:v>
                </c:pt>
                <c:pt idx="18">
                  <c:v>73.766043787026959</c:v>
                </c:pt>
                <c:pt idx="19">
                  <c:v>73.499751424463852</c:v>
                </c:pt>
                <c:pt idx="20">
                  <c:v>73.231538803699436</c:v>
                </c:pt>
                <c:pt idx="21">
                  <c:v>72.961387971666497</c:v>
                </c:pt>
                <c:pt idx="22">
                  <c:v>72.689283155126546</c:v>
                </c:pt>
                <c:pt idx="23">
                  <c:v>72.415210870697067</c:v>
                </c:pt>
                <c:pt idx="24">
                  <c:v>72.139160029485353</c:v>
                </c:pt>
                <c:pt idx="25">
                  <c:v>71.861122035597162</c:v>
                </c:pt>
                <c:pt idx="26">
                  <c:v>71.58109087782347</c:v>
                </c:pt>
                <c:pt idx="27">
                  <c:v>71.29906321385063</c:v>
                </c:pt>
                <c:pt idx="28">
                  <c:v>71.015038446392381</c:v>
                </c:pt>
                <c:pt idx="29">
                  <c:v>70.72901879070389</c:v>
                </c:pt>
                <c:pt idx="30">
                  <c:v>70.441009333002697</c:v>
                </c:pt>
                <c:pt idx="31">
                  <c:v>70.151018079397872</c:v>
                </c:pt>
                <c:pt idx="32">
                  <c:v>69.859055995008845</c:v>
                </c:pt>
                <c:pt idx="33">
                  <c:v>69.565137033034844</c:v>
                </c:pt>
                <c:pt idx="34">
                  <c:v>69.269278153626118</c:v>
                </c:pt>
                <c:pt idx="35">
                  <c:v>68.971499332495128</c:v>
                </c:pt>
                <c:pt idx="36">
                  <c:v>68.671823559289194</c:v>
                </c:pt>
                <c:pt idx="37">
                  <c:v>68.370276825838218</c:v>
                </c:pt>
                <c:pt idx="38">
                  <c:v>68.066888104469726</c:v>
                </c:pt>
                <c:pt idx="39">
                  <c:v>67.761689316662498</c:v>
                </c:pt>
                <c:pt idx="40">
                  <c:v>67.454715292386112</c:v>
                </c:pt>
                <c:pt idx="41">
                  <c:v>67.146003720536797</c:v>
                </c:pt>
                <c:pt idx="42">
                  <c:v>66.835595090941879</c:v>
                </c:pt>
                <c:pt idx="43">
                  <c:v>66.523532628453864</c:v>
                </c:pt>
                <c:pt idx="44">
                  <c:v>66.209862219697598</c:v>
                </c:pt>
                <c:pt idx="45">
                  <c:v>65.894632333066042</c:v>
                </c:pt>
                <c:pt idx="46">
                  <c:v>65.577893932583024</c:v>
                </c:pt>
                <c:pt idx="47">
                  <c:v>65.259700386263006</c:v>
                </c:pt>
                <c:pt idx="48">
                  <c:v>64.940107369601947</c:v>
                </c:pt>
                <c:pt idx="49">
                  <c:v>64.619172764828093</c:v>
                </c:pt>
                <c:pt idx="50">
                  <c:v>64.296956556523895</c:v>
                </c:pt>
                <c:pt idx="51">
                  <c:v>63.973520724211568</c:v>
                </c:pt>
                <c:pt idx="52">
                  <c:v>63.648929132459628</c:v>
                </c:pt>
                <c:pt idx="53">
                  <c:v>63.323247419036697</c:v>
                </c:pt>
                <c:pt idx="54">
                  <c:v>62.996542881590969</c:v>
                </c:pt>
                <c:pt idx="55">
                  <c:v>62.668884363291809</c:v>
                </c:pt>
                <c:pt idx="56">
                  <c:v>62.340342137817537</c:v>
                </c:pt>
                <c:pt idx="57">
                  <c:v>62.010987794021261</c:v>
                </c:pt>
                <c:pt idx="58">
                  <c:v>61.680894120554477</c:v>
                </c:pt>
                <c:pt idx="59">
                  <c:v>61.350134990672615</c:v>
                </c:pt>
                <c:pt idx="60">
                  <c:v>61.018785247394888</c:v>
                </c:pt>
                <c:pt idx="61">
                  <c:v>60.686920589140492</c:v>
                </c:pt>
                <c:pt idx="62">
                  <c:v>60.354617455912532</c:v>
                </c:pt>
                <c:pt idx="63">
                  <c:v>60.021952916058403</c:v>
                </c:pt>
                <c:pt idx="64">
                  <c:v>59.689004553594259</c:v>
                </c:pt>
                <c:pt idx="65">
                  <c:v>59.35585035604484</c:v>
                </c:pt>
                <c:pt idx="66">
                  <c:v>59.022568602720824</c:v>
                </c:pt>
                <c:pt idx="67">
                  <c:v>58.689237753331128</c:v>
                </c:pt>
                <c:pt idx="68">
                  <c:v>58.355936336810963</c:v>
                </c:pt>
                <c:pt idx="69">
                  <c:v>58.022742840233512</c:v>
                </c:pt>
                <c:pt idx="70">
                  <c:v>57.689735597670442</c:v>
                </c:pt>
                <c:pt idx="71">
                  <c:v>57.356992678868657</c:v>
                </c:pt>
                <c:pt idx="72">
                  <c:v>57.024591777619911</c:v>
                </c:pt>
                <c:pt idx="73">
                  <c:v>56.692610099715488</c:v>
                </c:pt>
                <c:pt idx="74">
                  <c:v>56.361124250401417</c:v>
                </c:pt>
                <c:pt idx="75">
                  <c:v>56.030210121278813</c:v>
                </c:pt>
                <c:pt idx="76">
                  <c:v>55.699942776625946</c:v>
                </c:pt>
                <c:pt idx="77">
                  <c:v>55.370396339161225</c:v>
                </c:pt>
                <c:pt idx="78">
                  <c:v>55.041643875306477</c:v>
                </c:pt>
                <c:pt idx="79">
                  <c:v>54.713757280061166</c:v>
                </c:pt>
                <c:pt idx="80">
                  <c:v>54.386807161645208</c:v>
                </c:pt>
                <c:pt idx="81">
                  <c:v>54.06086272612329</c:v>
                </c:pt>
                <c:pt idx="82">
                  <c:v>53.735991662275921</c:v>
                </c:pt>
                <c:pt idx="83">
                  <c:v>53.412260027035089</c:v>
                </c:pt>
                <c:pt idx="84">
                  <c:v>53.089732131858369</c:v>
                </c:pt>
                <c:pt idx="85">
                  <c:v>52.768470430461917</c:v>
                </c:pt>
                <c:pt idx="86">
                  <c:v>52.448535408383272</c:v>
                </c:pt>
                <c:pt idx="87">
                  <c:v>52.129985474887881</c:v>
                </c:pt>
                <c:pt idx="88">
                  <c:v>51.812876857768686</c:v>
                </c:pt>
                <c:pt idx="89">
                  <c:v>51.497263501624658</c:v>
                </c:pt>
                <c:pt idx="90">
                  <c:v>51.183196970224259</c:v>
                </c:pt>
                <c:pt idx="91">
                  <c:v>50.870726353580238</c:v>
                </c:pt>
                <c:pt idx="92">
                  <c:v>50.559898180367703</c:v>
                </c:pt>
                <c:pt idx="93">
                  <c:v>50.250756336319363</c:v>
                </c:pt>
                <c:pt idx="94">
                  <c:v>49.943341989218126</c:v>
                </c:pt>
                <c:pt idx="95">
                  <c:v>49.637693521091322</c:v>
                </c:pt>
                <c:pt idx="96">
                  <c:v>49.333846468175636</c:v>
                </c:pt>
                <c:pt idx="97">
                  <c:v>49.03183346918928</c:v>
                </c:pt>
                <c:pt idx="98">
                  <c:v>48.731684222392872</c:v>
                </c:pt>
                <c:pt idx="99">
                  <c:v>48.433425451867784</c:v>
                </c:pt>
                <c:pt idx="100">
                  <c:v>48.137080883374608</c:v>
                </c:pt>
                <c:pt idx="101">
                  <c:v>47.842671230082388</c:v>
                </c:pt>
                <c:pt idx="102">
                  <c:v>47.550214188382149</c:v>
                </c:pt>
                <c:pt idx="103">
                  <c:v>47.259724443916156</c:v>
                </c:pt>
                <c:pt idx="104">
                  <c:v>46.971213687868868</c:v>
                </c:pt>
                <c:pt idx="105">
                  <c:v>46.684690643478952</c:v>
                </c:pt>
                <c:pt idx="106">
                  <c:v>46.400161102642684</c:v>
                </c:pt>
                <c:pt idx="107">
                  <c:v>46.117627972394629</c:v>
                </c:pt>
                <c:pt idx="108">
                  <c:v>45.837091330965137</c:v>
                </c:pt>
                <c:pt idx="109">
                  <c:v>45.55854849303438</c:v>
                </c:pt>
                <c:pt idx="110">
                  <c:v>45.281994083728691</c:v>
                </c:pt>
                <c:pt idx="111">
                  <c:v>45.007420120832236</c:v>
                </c:pt>
                <c:pt idx="112">
                  <c:v>44.734816104628401</c:v>
                </c:pt>
                <c:pt idx="113">
                  <c:v>44.464169114728335</c:v>
                </c:pt>
                <c:pt idx="114">
                  <c:v>44.195463913199205</c:v>
                </c:pt>
                <c:pt idx="115">
                  <c:v>43.92868305326806</c:v>
                </c:pt>
                <c:pt idx="116">
                  <c:v>43.663806992849253</c:v>
                </c:pt>
                <c:pt idx="117">
                  <c:v>43.400814212126903</c:v>
                </c:pt>
                <c:pt idx="118">
                  <c:v>43.139681334410611</c:v>
                </c:pt>
                <c:pt idx="119">
                  <c:v>42.880383249490393</c:v>
                </c:pt>
                <c:pt idx="120">
                  <c:v>42.622893238716919</c:v>
                </c:pt>
                <c:pt idx="121">
                  <c:v>42.367183101057989</c:v>
                </c:pt>
                <c:pt idx="122">
                  <c:v>42.113223279400671</c:v>
                </c:pt>
                <c:pt idx="123">
                  <c:v>41.860982986402874</c:v>
                </c:pt>
                <c:pt idx="124">
                  <c:v>41.610430329233708</c:v>
                </c:pt>
                <c:pt idx="125">
                  <c:v>41.361532432584013</c:v>
                </c:pt>
                <c:pt idx="126">
                  <c:v>41.114255559373596</c:v>
                </c:pt>
                <c:pt idx="127">
                  <c:v>40.868565228632825</c:v>
                </c:pt>
                <c:pt idx="128">
                  <c:v>40.62442633008429</c:v>
                </c:pt>
                <c:pt idx="129">
                  <c:v>40.381803235005776</c:v>
                </c:pt>
                <c:pt idx="130">
                  <c:v>40.140659903008782</c:v>
                </c:pt>
                <c:pt idx="131">
                  <c:v>39.900959984417241</c:v>
                </c:pt>
                <c:pt idx="132">
                  <c:v>39.662666917988332</c:v>
                </c:pt>
                <c:pt idx="133">
                  <c:v>39.425744023764281</c:v>
                </c:pt>
                <c:pt idx="134">
                  <c:v>39.190154590893677</c:v>
                </c:pt>
                <c:pt idx="135">
                  <c:v>38.95586196031261</c:v>
                </c:pt>
                <c:pt idx="136">
                  <c:v>38.722829602210432</c:v>
                </c:pt>
                <c:pt idx="137">
                  <c:v>38.491021188256454</c:v>
                </c:pt>
                <c:pt idx="138">
                  <c:v>38.260400658594108</c:v>
                </c:pt>
                <c:pt idx="139">
                  <c:v>38.030932283647893</c:v>
                </c:pt>
                <c:pt idx="140">
                  <c:v>37.802580720816309</c:v>
                </c:pt>
                <c:pt idx="141">
                  <c:v>37.575311066155429</c:v>
                </c:pt>
                <c:pt idx="142">
                  <c:v>37.349088901177467</c:v>
                </c:pt>
                <c:pt idx="143">
                  <c:v>37.123880334913423</c:v>
                </c:pt>
                <c:pt idx="144">
                  <c:v>36.899652041404678</c:v>
                </c:pt>
                <c:pt idx="145">
                  <c:v>36.676371292801775</c:v>
                </c:pt>
                <c:pt idx="146">
                  <c:v>36.454005988263852</c:v>
                </c:pt>
                <c:pt idx="147">
                  <c:v>36.232524678857054</c:v>
                </c:pt>
                <c:pt idx="148">
                  <c:v>36.011896588659219</c:v>
                </c:pt>
                <c:pt idx="149">
                  <c:v>35.792091632281441</c:v>
                </c:pt>
                <c:pt idx="150">
                  <c:v>35.573080429019647</c:v>
                </c:pt>
                <c:pt idx="151">
                  <c:v>35.354834313847533</c:v>
                </c:pt>
                <c:pt idx="152">
                  <c:v>35.137325345463815</c:v>
                </c:pt>
                <c:pt idx="153">
                  <c:v>34.920526311601485</c:v>
                </c:pt>
                <c:pt idx="154">
                  <c:v>34.704410731802547</c:v>
                </c:pt>
                <c:pt idx="155">
                  <c:v>34.488952857857591</c:v>
                </c:pt>
                <c:pt idx="156">
                  <c:v>34.27412767210307</c:v>
                </c:pt>
                <c:pt idx="157">
                  <c:v>34.059910883760772</c:v>
                </c:pt>
                <c:pt idx="158">
                  <c:v>33.84627892349927</c:v>
                </c:pt>
                <c:pt idx="159">
                  <c:v>33.63320893638479</c:v>
                </c:pt>
                <c:pt idx="160">
                  <c:v>33.420678773386896</c:v>
                </c:pt>
                <c:pt idx="161">
                  <c:v>33.208666981588976</c:v>
                </c:pt>
                <c:pt idx="162">
                  <c:v>32.997152793249981</c:v>
                </c:pt>
                <c:pt idx="163">
                  <c:v>32.786116113853282</c:v>
                </c:pt>
                <c:pt idx="164">
                  <c:v>32.57553750926953</c:v>
                </c:pt>
                <c:pt idx="165">
                  <c:v>32.365398192153023</c:v>
                </c:pt>
                <c:pt idx="166">
                  <c:v>32.155680007681774</c:v>
                </c:pt>
                <c:pt idx="167">
                  <c:v>31.94636541874435</c:v>
                </c:pt>
                <c:pt idx="168">
                  <c:v>31.737437490667268</c:v>
                </c:pt>
                <c:pt idx="169">
                  <c:v>31.528879875571285</c:v>
                </c:pt>
                <c:pt idx="170">
                  <c:v>31.320676796435009</c:v>
                </c:pt>
                <c:pt idx="171">
                  <c:v>31.112813030940032</c:v>
                </c:pt>
                <c:pt idx="172">
                  <c:v>30.905273895162782</c:v>
                </c:pt>
                <c:pt idx="173">
                  <c:v>30.698045227174138</c:v>
                </c:pt>
                <c:pt idx="174">
                  <c:v>30.491113370599436</c:v>
                </c:pt>
                <c:pt idx="175">
                  <c:v>30.284465158189068</c:v>
                </c:pt>
                <c:pt idx="176">
                  <c:v>30.078087895441392</c:v>
                </c:pt>
                <c:pt idx="177">
                  <c:v>29.871969344317428</c:v>
                </c:pt>
                <c:pt idx="178">
                  <c:v>29.666097707079491</c:v>
                </c:pt>
                <c:pt idx="179">
                  <c:v>29.460461610285833</c:v>
                </c:pt>
                <c:pt idx="180">
                  <c:v>29.255050088963177</c:v>
                </c:pt>
                <c:pt idx="181">
                  <c:v>29.049852570982214</c:v>
                </c:pt>
                <c:pt idx="182">
                  <c:v>28.844858861652405</c:v>
                </c:pt>
                <c:pt idx="183">
                  <c:v>28.640059128552039</c:v>
                </c:pt>
                <c:pt idx="184">
                  <c:v>28.435443886605206</c:v>
                </c:pt>
                <c:pt idx="185">
                  <c:v>28.231003983417089</c:v>
                </c:pt>
                <c:pt idx="186">
                  <c:v>28.026730584871803</c:v>
                </c:pt>
                <c:pt idx="187">
                  <c:v>27.82261516100132</c:v>
                </c:pt>
                <c:pt idx="188">
                  <c:v>27.618649472125153</c:v>
                </c:pt>
                <c:pt idx="189">
                  <c:v>27.414825555264404</c:v>
                </c:pt>
                <c:pt idx="190">
                  <c:v>27.211135710828632</c:v>
                </c:pt>
                <c:pt idx="191">
                  <c:v>27.007572489573231</c:v>
                </c:pt>
                <c:pt idx="192">
                  <c:v>26.804128679824515</c:v>
                </c:pt>
                <c:pt idx="193">
                  <c:v>26.600797294967858</c:v>
                </c:pt>
                <c:pt idx="194">
                  <c:v>26.39757156119262</c:v>
                </c:pt>
                <c:pt idx="195">
                  <c:v>26.194444905487963</c:v>
                </c:pt>
                <c:pt idx="196">
                  <c:v>25.991410943881384</c:v>
                </c:pt>
                <c:pt idx="197">
                  <c:v>25.788463469912003</c:v>
                </c:pt>
                <c:pt idx="198">
                  <c:v>25.585596443329152</c:v>
                </c:pt>
                <c:pt idx="199">
                  <c:v>25.382803979007388</c:v>
                </c:pt>
                <c:pt idx="200">
                  <c:v>25.180080336066958</c:v>
                </c:pt>
                <c:pt idx="201">
                  <c:v>24.977419907189265</c:v>
                </c:pt>
                <c:pt idx="202">
                  <c:v>24.774817208117664</c:v>
                </c:pt>
                <c:pt idx="203">
                  <c:v>24.572266867329603</c:v>
                </c:pt>
                <c:pt idx="204">
                  <c:v>24.369763615871513</c:v>
                </c:pt>
                <c:pt idx="205">
                  <c:v>24.167302277341939</c:v>
                </c:pt>
                <c:pt idx="206">
                  <c:v>23.964877758013252</c:v>
                </c:pt>
                <c:pt idx="207">
                  <c:v>23.762485037077386</c:v>
                </c:pt>
                <c:pt idx="208">
                  <c:v>23.56011915700552</c:v>
                </c:pt>
                <c:pt idx="209">
                  <c:v>23.357775214007717</c:v>
                </c:pt>
                <c:pt idx="210">
                  <c:v>23.155448348581164</c:v>
                </c:pt>
                <c:pt idx="211">
                  <c:v>22.953133736133658</c:v>
                </c:pt>
                <c:pt idx="212">
                  <c:v>22.750826577671145</c:v>
                </c:pt>
                <c:pt idx="213">
                  <c:v>22.548522090535499</c:v>
                </c:pt>
                <c:pt idx="214">
                  <c:v>22.346215499181724</c:v>
                </c:pt>
                <c:pt idx="215">
                  <c:v>22.143902025981724</c:v>
                </c:pt>
                <c:pt idx="216">
                  <c:v>21.941576882041474</c:v>
                </c:pt>
                <c:pt idx="217">
                  <c:v>21.739235258023697</c:v>
                </c:pt>
                <c:pt idx="218">
                  <c:v>21.536872314958199</c:v>
                </c:pt>
                <c:pt idx="219">
                  <c:v>21.334483175035093</c:v>
                </c:pt>
                <c:pt idx="220">
                  <c:v>21.132062912364489</c:v>
                </c:pt>
                <c:pt idx="221">
                  <c:v>20.929606543694888</c:v>
                </c:pt>
                <c:pt idx="222">
                  <c:v>20.727109019079499</c:v>
                </c:pt>
                <c:pt idx="223">
                  <c:v>20.524565212478279</c:v>
                </c:pt>
                <c:pt idx="224">
                  <c:v>20.321969912288967</c:v>
                </c:pt>
                <c:pt idx="225">
                  <c:v>20.119317811796179</c:v>
                </c:pt>
                <c:pt idx="226">
                  <c:v>19.916603499530208</c:v>
                </c:pt>
                <c:pt idx="227">
                  <c:v>19.713821449528162</c:v>
                </c:pt>
                <c:pt idx="228">
                  <c:v>19.510966011489472</c:v>
                </c:pt>
                <c:pt idx="229">
                  <c:v>19.308031400819367</c:v>
                </c:pt>
                <c:pt idx="230">
                  <c:v>19.105011688555017</c:v>
                </c:pt>
                <c:pt idx="231">
                  <c:v>18.901900791169194</c:v>
                </c:pt>
                <c:pt idx="232">
                  <c:v>18.698692460247422</c:v>
                </c:pt>
                <c:pt idx="233">
                  <c:v>18.495380272036716</c:v>
                </c:pt>
                <c:pt idx="234">
                  <c:v>18.29195761686298</c:v>
                </c:pt>
                <c:pt idx="235">
                  <c:v>18.088417688419472</c:v>
                </c:pt>
                <c:pt idx="236">
                  <c:v>17.884753472924746</c:v>
                </c:pt>
                <c:pt idx="237">
                  <c:v>17.680957738154618</c:v>
                </c:pt>
                <c:pt idx="238">
                  <c:v>17.477023022354352</c:v>
                </c:pt>
                <c:pt idx="239">
                  <c:v>17.27294162303361</c:v>
                </c:pt>
                <c:pt idx="240">
                  <c:v>17.068705585657369</c:v>
                </c:pt>
                <c:pt idx="241">
                  <c:v>16.864306692241556</c:v>
                </c:pt>
                <c:pt idx="242">
                  <c:v>16.659736449866788</c:v>
                </c:pt>
                <c:pt idx="243">
                  <c:v>16.454986079127412</c:v>
                </c:pt>
                <c:pt idx="244">
                  <c:v>16.250046502534772</c:v>
                </c:pt>
                <c:pt idx="245">
                  <c:v>16.044908332896117</c:v>
                </c:pt>
                <c:pt idx="246">
                  <c:v>15.839561861695884</c:v>
                </c:pt>
                <c:pt idx="247">
                  <c:v>15.633997047508801</c:v>
                </c:pt>
                <c:pt idx="248">
                  <c:v>15.428203504475377</c:v>
                </c:pt>
                <c:pt idx="249">
                  <c:v>15.222170490881918</c:v>
                </c:pt>
                <c:pt idx="250">
                  <c:v>15.015886897881911</c:v>
                </c:pt>
                <c:pt idx="251">
                  <c:v>14.809341238408518</c:v>
                </c:pt>
                <c:pt idx="252">
                  <c:v>14.602521636328616</c:v>
                </c:pt>
                <c:pt idx="253">
                  <c:v>14.395415815895852</c:v>
                </c:pt>
                <c:pt idx="254">
                  <c:v>14.188011091564016</c:v>
                </c:pt>
                <c:pt idx="255">
                  <c:v>13.980294358231109</c:v>
                </c:pt>
                <c:pt idx="256">
                  <c:v>13.772252081987224</c:v>
                </c:pt>
                <c:pt idx="257">
                  <c:v>13.563870291447557</c:v>
                </c:pt>
                <c:pt idx="258">
                  <c:v>13.355134569760136</c:v>
                </c:pt>
                <c:pt idx="259">
                  <c:v>13.146030047379938</c:v>
                </c:pt>
                <c:pt idx="260">
                  <c:v>12.936541395714535</c:v>
                </c:pt>
                <c:pt idx="261">
                  <c:v>12.726652821748615</c:v>
                </c:pt>
                <c:pt idx="262">
                  <c:v>12.516348063765451</c:v>
                </c:pt>
                <c:pt idx="263">
                  <c:v>12.305610388287961</c:v>
                </c:pt>
                <c:pt idx="264">
                  <c:v>12.094422588373332</c:v>
                </c:pt>
                <c:pt idx="265">
                  <c:v>11.882766983398682</c:v>
                </c:pt>
                <c:pt idx="266">
                  <c:v>11.670625420485607</c:v>
                </c:pt>
                <c:pt idx="267">
                  <c:v>11.457979277717039</c:v>
                </c:pt>
                <c:pt idx="268">
                  <c:v>11.244809469306245</c:v>
                </c:pt>
                <c:pt idx="269">
                  <c:v>11.031096452886416</c:v>
                </c:pt>
                <c:pt idx="270">
                  <c:v>10.816820239090932</c:v>
                </c:pt>
                <c:pt idx="271">
                  <c:v>10.601960403603641</c:v>
                </c:pt>
                <c:pt idx="272">
                  <c:v>10.386496101860342</c:v>
                </c:pt>
                <c:pt idx="273">
                  <c:v>10.170406086584386</c:v>
                </c:pt>
                <c:pt idx="274">
                  <c:v>9.9536687283436933</c:v>
                </c:pt>
                <c:pt idx="275">
                  <c:v>9.7362620393153385</c:v>
                </c:pt>
                <c:pt idx="276">
                  <c:v>9.5181637004417414</c:v>
                </c:pt>
                <c:pt idx="277">
                  <c:v>9.299351092160709</c:v>
                </c:pt>
                <c:pt idx="278">
                  <c:v>9.0798013288840522</c:v>
                </c:pt>
                <c:pt idx="279">
                  <c:v>8.8594912973944187</c:v>
                </c:pt>
                <c:pt idx="280">
                  <c:v>8.6383976993168048</c:v>
                </c:pt>
                <c:pt idx="281">
                  <c:v>8.4164970978098612</c:v>
                </c:pt>
                <c:pt idx="282">
                  <c:v>8.1937659686057245</c:v>
                </c:pt>
                <c:pt idx="283">
                  <c:v>7.9701807555069228</c:v>
                </c:pt>
                <c:pt idx="284">
                  <c:v>7.7457179304268644</c:v>
                </c:pt>
                <c:pt idx="285">
                  <c:v>7.5203540580343242</c:v>
                </c:pt>
                <c:pt idx="286">
                  <c:v>7.2940658650323513</c:v>
                </c:pt>
                <c:pt idx="287">
                  <c:v>7.0668303140670634</c:v>
                </c:pt>
                <c:pt idx="288">
                  <c:v>6.8386246822273513</c:v>
                </c:pt>
                <c:pt idx="289">
                  <c:v>6.6094266440523572</c:v>
                </c:pt>
                <c:pt idx="290">
                  <c:v>6.3792143589198993</c:v>
                </c:pt>
                <c:pt idx="291">
                  <c:v>6.1479665626425728</c:v>
                </c:pt>
                <c:pt idx="292">
                  <c:v>5.9156626630433964</c:v>
                </c:pt>
                <c:pt idx="293">
                  <c:v>5.6822828392311076</c:v>
                </c:pt>
                <c:pt idx="294">
                  <c:v>5.4478081442369266</c:v>
                </c:pt>
                <c:pt idx="295">
                  <c:v>5.2122206106158764</c:v>
                </c:pt>
                <c:pt idx="296">
                  <c:v>4.9755033585559998</c:v>
                </c:pt>
                <c:pt idx="297">
                  <c:v>4.7376407059749335</c:v>
                </c:pt>
                <c:pt idx="298">
                  <c:v>4.4986182800256342</c:v>
                </c:pt>
                <c:pt idx="299">
                  <c:v>4.2584231293695298</c:v>
                </c:pt>
                <c:pt idx="300">
                  <c:v>4.0170438365171668</c:v>
                </c:pt>
                <c:pt idx="301">
                  <c:v>3.7744706294819101</c:v>
                </c:pt>
                <c:pt idx="302">
                  <c:v>3.530695491936938</c:v>
                </c:pt>
                <c:pt idx="303">
                  <c:v>3.2857122710210995</c:v>
                </c:pt>
                <c:pt idx="304">
                  <c:v>3.0395167818942355</c:v>
                </c:pt>
                <c:pt idx="305">
                  <c:v>2.7921069081115819</c:v>
                </c:pt>
                <c:pt idx="306">
                  <c:v>2.5434826968549173</c:v>
                </c:pt>
                <c:pt idx="307">
                  <c:v>2.2936464480459571</c:v>
                </c:pt>
                <c:pt idx="308">
                  <c:v>2.0426027963526585</c:v>
                </c:pt>
                <c:pt idx="309">
                  <c:v>1.7903587851082188</c:v>
                </c:pt>
                <c:pt idx="310">
                  <c:v>1.5369239311715843</c:v>
                </c:pt>
                <c:pt idx="311">
                  <c:v>1.2823102797843053</c:v>
                </c:pt>
                <c:pt idx="312">
                  <c:v>1.0265324485201133</c:v>
                </c:pt>
                <c:pt idx="313">
                  <c:v>0.76960765946800502</c:v>
                </c:pt>
                <c:pt idx="314">
                  <c:v>0.51155575885695892</c:v>
                </c:pt>
                <c:pt idx="315">
                  <c:v>0.25239922340183729</c:v>
                </c:pt>
                <c:pt idx="316">
                  <c:v>-7.8368472632681929E-3</c:v>
                </c:pt>
                <c:pt idx="317">
                  <c:v>-0.26912475259860769</c:v>
                </c:pt>
                <c:pt idx="318">
                  <c:v>-0.53143422805161655</c:v>
                </c:pt>
                <c:pt idx="319">
                  <c:v>-0.79473249713847971</c:v>
                </c:pt>
                <c:pt idx="320">
                  <c:v>-1.0589843389068434</c:v>
                </c:pt>
                <c:pt idx="321">
                  <c:v>-1.3241521708353765</c:v>
                </c:pt>
                <c:pt idx="322">
                  <c:v>-1.5901961470953503</c:v>
                </c:pt>
                <c:pt idx="323">
                  <c:v>-1.8570742719592526</c:v>
                </c:pt>
                <c:pt idx="324">
                  <c:v>-2.1247425280001151</c:v>
                </c:pt>
                <c:pt idx="325">
                  <c:v>-2.393155018587688</c:v>
                </c:pt>
                <c:pt idx="326">
                  <c:v>-2.6622641240491052</c:v>
                </c:pt>
                <c:pt idx="327">
                  <c:v>-2.9320206707269576</c:v>
                </c:pt>
                <c:pt idx="328">
                  <c:v>-3.2023741120406961</c:v>
                </c:pt>
                <c:pt idx="329">
                  <c:v>-3.4732727205357561</c:v>
                </c:pt>
                <c:pt idx="330">
                  <c:v>-3.7446637897908892</c:v>
                </c:pt>
                <c:pt idx="331">
                  <c:v>-4.0164938449555603</c:v>
                </c:pt>
                <c:pt idx="332">
                  <c:v>-4.2887088605939825</c:v>
                </c:pt>
                <c:pt idx="333">
                  <c:v>-4.561254484439722</c:v>
                </c:pt>
                <c:pt idx="334">
                  <c:v>-4.8340762655959981</c:v>
                </c:pt>
                <c:pt idx="335">
                  <c:v>-5.1071198856681814</c:v>
                </c:pt>
                <c:pt idx="336">
                  <c:v>-5.3803313912827733</c:v>
                </c:pt>
                <c:pt idx="337">
                  <c:v>-5.6536574264257009</c:v>
                </c:pt>
                <c:pt idx="338">
                  <c:v>-5.9270454630263245</c:v>
                </c:pt>
                <c:pt idx="339">
                  <c:v>-6.2004440282324937</c:v>
                </c:pt>
                <c:pt idx="340">
                  <c:v>-6.4738029268425032</c:v>
                </c:pt>
                <c:pt idx="341">
                  <c:v>-6.7470734574059943</c:v>
                </c:pt>
                <c:pt idx="342">
                  <c:v>-7.0202086205602576</c:v>
                </c:pt>
                <c:pt idx="343">
                  <c:v>-7.2931633182419677</c:v>
                </c:pt>
                <c:pt idx="344">
                  <c:v>-7.5658945424914386</c:v>
                </c:pt>
                <c:pt idx="345">
                  <c:v>-7.8383615526682835</c:v>
                </c:pt>
                <c:pt idx="346">
                  <c:v>-8.1105260399928341</c:v>
                </c:pt>
                <c:pt idx="347">
                  <c:v>-8.3823522784484865</c:v>
                </c:pt>
                <c:pt idx="348">
                  <c:v>-8.653807261195098</c:v>
                </c:pt>
                <c:pt idx="349">
                  <c:v>-8.9248608217703946</c:v>
                </c:pt>
                <c:pt idx="350">
                  <c:v>-9.1954857394844449</c:v>
                </c:pt>
                <c:pt idx="351">
                  <c:v>-9.4656578285471085</c:v>
                </c:pt>
                <c:pt idx="352">
                  <c:v>-9.7353560105935735</c:v>
                </c:pt>
                <c:pt idx="353">
                  <c:v>-10.00456237040793</c:v>
                </c:pt>
                <c:pt idx="354">
                  <c:v>-10.273262194770238</c:v>
                </c:pt>
                <c:pt idx="355">
                  <c:v>-10.541443994474267</c:v>
                </c:pt>
                <c:pt idx="356">
                  <c:v>-10.809099509679488</c:v>
                </c:pt>
                <c:pt idx="357">
                  <c:v>-11.076223698871679</c:v>
                </c:pt>
                <c:pt idx="358">
                  <c:v>-11.34281471180393</c:v>
                </c:pt>
                <c:pt idx="359">
                  <c:v>-11.608873846886311</c:v>
                </c:pt>
                <c:pt idx="360">
                  <c:v>-11.874405493568494</c:v>
                </c:pt>
                <c:pt idx="361">
                  <c:v>-12.139417060334658</c:v>
                </c:pt>
                <c:pt idx="362">
                  <c:v>-12.403918888991154</c:v>
                </c:pt>
                <c:pt idx="363">
                  <c:v>-12.667924155973466</c:v>
                </c:pt>
                <c:pt idx="364">
                  <c:v>-12.931448761442542</c:v>
                </c:pt>
                <c:pt idx="365">
                  <c:v>-13.194511206968082</c:v>
                </c:pt>
                <c:pt idx="366">
                  <c:v>-13.457132462617656</c:v>
                </c:pt>
                <c:pt idx="367">
                  <c:v>-13.719335824279572</c:v>
                </c:pt>
                <c:pt idx="368">
                  <c:v>-13.981146762054706</c:v>
                </c:pt>
                <c:pt idx="369">
                  <c:v>-14.242592760545993</c:v>
                </c:pt>
                <c:pt idx="370">
                  <c:v>-14.503703151865642</c:v>
                </c:pt>
                <c:pt idx="371">
                  <c:v>-14.764508942170853</c:v>
                </c:pt>
                <c:pt idx="372">
                  <c:v>-15.025042632515246</c:v>
                </c:pt>
                <c:pt idx="373">
                  <c:v>-15.285338034790616</c:v>
                </c:pt>
                <c:pt idx="374">
                  <c:v>-15.545430083511761</c:v>
                </c:pt>
                <c:pt idx="375">
                  <c:v>-15.805354644173823</c:v>
                </c:pt>
                <c:pt idx="376">
                  <c:v>-16.065148318901041</c:v>
                </c:pt>
                <c:pt idx="377">
                  <c:v>-16.324848250079931</c:v>
                </c:pt>
                <c:pt idx="378">
                  <c:v>-16.584491922664895</c:v>
                </c:pt>
                <c:pt idx="379">
                  <c:v>-16.84411696582573</c:v>
                </c:pt>
                <c:pt idx="380">
                  <c:v>-17.103760954608511</c:v>
                </c:pt>
                <c:pt idx="381">
                  <c:v>-17.363461212270202</c:v>
                </c:pt>
                <c:pt idx="382">
                  <c:v>-17.623254613955986</c:v>
                </c:pt>
                <c:pt idx="383">
                  <c:v>-17.883177392391008</c:v>
                </c:pt>
                <c:pt idx="384">
                  <c:v>-18.14326494626799</c:v>
                </c:pt>
                <c:pt idx="385">
                  <c:v>-18.403551652025953</c:v>
                </c:pt>
                <c:pt idx="386">
                  <c:v>-18.664070679730465</c:v>
                </c:pt>
                <c:pt idx="387">
                  <c:v>-18.924853813784594</c:v>
                </c:pt>
                <c:pt idx="388">
                  <c:v>-19.185931279218217</c:v>
                </c:pt>
                <c:pt idx="389">
                  <c:v>-19.447331574319922</c:v>
                </c:pt>
                <c:pt idx="390">
                  <c:v>-19.709081310398858</c:v>
                </c:pt>
                <c:pt idx="391">
                  <c:v>-19.971205059474183</c:v>
                </c:pt>
                <c:pt idx="392">
                  <c:v>-20.233725210703856</c:v>
                </c:pt>
                <c:pt idx="393">
                  <c:v>-20.496661836373985</c:v>
                </c:pt>
                <c:pt idx="394">
                  <c:v>-20.760032568267984</c:v>
                </c:pt>
                <c:pt idx="395">
                  <c:v>-21.02385248523165</c:v>
                </c:pt>
                <c:pt idx="396">
                  <c:v>-21.288134012735934</c:v>
                </c:pt>
                <c:pt idx="397">
                  <c:v>-21.552886835217301</c:v>
                </c:pt>
                <c:pt idx="398">
                  <c:v>-21.818117821941406</c:v>
                </c:pt>
                <c:pt idx="399">
                  <c:v>-22.083830967095295</c:v>
                </c:pt>
                <c:pt idx="400">
                  <c:v>-22.350027344758281</c:v>
                </c:pt>
                <c:pt idx="401">
                  <c:v>-22.616705079336306</c:v>
                </c:pt>
                <c:pt idx="402">
                  <c:v>-22.883859331971284</c:v>
                </c:pt>
                <c:pt idx="403">
                  <c:v>-23.151482303347699</c:v>
                </c:pt>
                <c:pt idx="404">
                  <c:v>-23.419563253223878</c:v>
                </c:pt>
                <c:pt idx="405">
                  <c:v>-23.688088536907891</c:v>
                </c:pt>
                <c:pt idx="406">
                  <c:v>-23.95704165878502</c:v>
                </c:pt>
                <c:pt idx="407">
                  <c:v>-24.226403342879316</c:v>
                </c:pt>
                <c:pt idx="408">
                  <c:v>-24.496151620306016</c:v>
                </c:pt>
                <c:pt idx="409">
                  <c:v>-24.766261933337844</c:v>
                </c:pt>
                <c:pt idx="410">
                  <c:v>-25.036707255673207</c:v>
                </c:pt>
                <c:pt idx="411">
                  <c:v>-25.307458228358783</c:v>
                </c:pt>
                <c:pt idx="412">
                  <c:v>-25.578483310684884</c:v>
                </c:pt>
                <c:pt idx="413">
                  <c:v>-25.849748945235646</c:v>
                </c:pt>
                <c:pt idx="414">
                  <c:v>-26.121219736155652</c:v>
                </c:pt>
                <c:pt idx="415">
                  <c:v>-26.392858639566846</c:v>
                </c:pt>
                <c:pt idx="416">
                  <c:v>-26.664627164963214</c:v>
                </c:pt>
                <c:pt idx="417">
                  <c:v>-26.936485586303746</c:v>
                </c:pt>
                <c:pt idx="418">
                  <c:v>-27.208393161439876</c:v>
                </c:pt>
                <c:pt idx="419">
                  <c:v>-27.480308358428722</c:v>
                </c:pt>
                <c:pt idx="420">
                  <c:v>-27.752189087230875</c:v>
                </c:pt>
                <c:pt idx="421">
                  <c:v>-28.023992935233508</c:v>
                </c:pt>
                <c:pt idx="422">
                  <c:v>-28.295677405017269</c:v>
                </c:pt>
                <c:pt idx="423">
                  <c:v>-28.567200152766908</c:v>
                </c:pt>
                <c:pt idx="424">
                  <c:v>-28.838519225727328</c:v>
                </c:pt>
                <c:pt idx="425">
                  <c:v>-29.109593297129589</c:v>
                </c:pt>
                <c:pt idx="426">
                  <c:v>-29.380381897044625</c:v>
                </c:pt>
                <c:pt idx="427">
                  <c:v>-29.650845637677349</c:v>
                </c:pt>
                <c:pt idx="428">
                  <c:v>-29.920946431677763</c:v>
                </c:pt>
                <c:pt idx="429">
                  <c:v>-30.190647702135045</c:v>
                </c:pt>
                <c:pt idx="430">
                  <c:v>-30.459914583006121</c:v>
                </c:pt>
                <c:pt idx="431">
                  <c:v>-30.72871410885022</c:v>
                </c:pt>
                <c:pt idx="432">
                  <c:v>-30.997015392843746</c:v>
                </c:pt>
                <c:pt idx="433">
                  <c:v>-31.264789792192801</c:v>
                </c:pt>
                <c:pt idx="434">
                  <c:v>-31.532011060177783</c:v>
                </c:pt>
                <c:pt idx="435">
                  <c:v>-31.798655484212563</c:v>
                </c:pt>
                <c:pt idx="436">
                  <c:v>-32.06470200943788</c:v>
                </c:pt>
                <c:pt idx="437">
                  <c:v>-32.330132347509078</c:v>
                </c:pt>
                <c:pt idx="438">
                  <c:v>-32.594931070379666</c:v>
                </c:pt>
                <c:pt idx="439">
                  <c:v>-32.859085689017625</c:v>
                </c:pt>
                <c:pt idx="440">
                  <c:v>-33.122586717125607</c:v>
                </c:pt>
                <c:pt idx="441">
                  <c:v>-33.385427720060065</c:v>
                </c:pt>
                <c:pt idx="442">
                  <c:v>-33.647605349260601</c:v>
                </c:pt>
                <c:pt idx="443">
                  <c:v>-33.909119362611818</c:v>
                </c:pt>
                <c:pt idx="444">
                  <c:v>-34.169972631253103</c:v>
                </c:pt>
                <c:pt idx="445">
                  <c:v>-34.430171133441604</c:v>
                </c:pt>
                <c:pt idx="446">
                  <c:v>-34.689723936141746</c:v>
                </c:pt>
                <c:pt idx="447">
                  <c:v>-34.948643165079936</c:v>
                </c:pt>
                <c:pt idx="448">
                  <c:v>-35.206943964048058</c:v>
                </c:pt>
                <c:pt idx="449">
                  <c:v>-35.464644444273489</c:v>
                </c:pt>
                <c:pt idx="450">
                  <c:v>-35.721765624694655</c:v>
                </c:pt>
                <c:pt idx="451">
                  <c:v>-35.97833136399322</c:v>
                </c:pt>
                <c:pt idx="452">
                  <c:v>-36.234368285228562</c:v>
                </c:pt>
                <c:pt idx="453">
                  <c:v>-36.489905693903403</c:v>
                </c:pt>
                <c:pt idx="454">
                  <c:v>-36.744975490274769</c:v>
                </c:pt>
                <c:pt idx="455">
                  <c:v>-36.999612076679718</c:v>
                </c:pt>
                <c:pt idx="456">
                  <c:v>-37.253852260614721</c:v>
                </c:pt>
                <c:pt idx="457">
                  <c:v>-37.507735154250661</c:v>
                </c:pt>
                <c:pt idx="458">
                  <c:v>-37.761302071016644</c:v>
                </c:pt>
                <c:pt idx="459">
                  <c:v>-38.014596419828635</c:v>
                </c:pt>
                <c:pt idx="460">
                  <c:v>-38.267663597471682</c:v>
                </c:pt>
                <c:pt idx="461">
                  <c:v>-38.520550879587226</c:v>
                </c:pt>
                <c:pt idx="462">
                  <c:v>-38.773307310649415</c:v>
                </c:pt>
                <c:pt idx="463">
                  <c:v>-39.025983593251141</c:v>
                </c:pt>
                <c:pt idx="464">
                  <c:v>-39.278631976957861</c:v>
                </c:pt>
                <c:pt idx="465">
                  <c:v>-39.531306146926468</c:v>
                </c:pt>
                <c:pt idx="466">
                  <c:v>-39.784061112431075</c:v>
                </c:pt>
                <c:pt idx="467">
                  <c:v>-40.036953095380767</c:v>
                </c:pt>
                <c:pt idx="468">
                  <c:v>-40.290039418870521</c:v>
                </c:pt>
                <c:pt idx="469">
                  <c:v>-40.543378395759532</c:v>
                </c:pt>
                <c:pt idx="470">
                  <c:v>-40.79702921723451</c:v>
                </c:pt>
                <c:pt idx="471">
                  <c:v>-41.051051841288348</c:v>
                </c:pt>
                <c:pt idx="472">
                  <c:v>-41.30550688101259</c:v>
                </c:pt>
                <c:pt idx="473">
                  <c:v>-41.560455492591963</c:v>
                </c:pt>
                <c:pt idx="474">
                  <c:v>-41.815959262874713</c:v>
                </c:pt>
                <c:pt idx="475">
                  <c:v>-42.072080096389442</c:v>
                </c:pt>
                <c:pt idx="476">
                  <c:v>-42.328880101682145</c:v>
                </c:pt>
                <c:pt idx="477">
                  <c:v>-42.586421476860252</c:v>
                </c:pt>
                <c:pt idx="478">
                  <c:v>-42.844766394243727</c:v>
                </c:pt>
                <c:pt idx="479">
                  <c:v>-43.103976884049082</c:v>
                </c:pt>
                <c:pt idx="480">
                  <c:v>-43.364114717062336</c:v>
                </c:pt>
                <c:pt idx="481">
                  <c:v>-43.625241286288841</c:v>
                </c:pt>
                <c:pt idx="482">
                  <c:v>-43.887417487612737</c:v>
                </c:pt>
                <c:pt idx="483">
                  <c:v>-44.150703599537891</c:v>
                </c:pt>
                <c:pt idx="484">
                  <c:v>-44.415159162135573</c:v>
                </c:pt>
                <c:pt idx="485">
                  <c:v>-44.680842855370521</c:v>
                </c:pt>
                <c:pt idx="486">
                  <c:v>-44.94781237703296</c:v>
                </c:pt>
                <c:pt idx="487">
                  <c:v>-45.216124320557888</c:v>
                </c:pt>
                <c:pt idx="488">
                  <c:v>-45.485834053063513</c:v>
                </c:pt>
                <c:pt idx="489">
                  <c:v>-45.756995594000571</c:v>
                </c:pt>
                <c:pt idx="490">
                  <c:v>-46.029661494847218</c:v>
                </c:pt>
                <c:pt idx="491">
                  <c:v>-46.303882720339487</c:v>
                </c:pt>
                <c:pt idx="492">
                  <c:v>-46.579708531766059</c:v>
                </c:pt>
                <c:pt idx="493">
                  <c:v>-46.857186372897324</c:v>
                </c:pt>
                <c:pt idx="494">
                  <c:v>-47.136361759150766</c:v>
                </c:pt>
                <c:pt idx="495">
                  <c:v>-47.417278170620705</c:v>
                </c:pt>
                <c:pt idx="496">
                  <c:v>-47.699976949616754</c:v>
                </c:pt>
                <c:pt idx="497">
                  <c:v>-47.984497203366097</c:v>
                </c:pt>
                <c:pt idx="498">
                  <c:v>-48.270875712535222</c:v>
                </c:pt>
                <c:pt idx="499">
                  <c:v>-48.559146846215043</c:v>
                </c:pt>
                <c:pt idx="500">
                  <c:v>-48.849342483996793</c:v>
                </c:pt>
                <c:pt idx="501">
                  <c:v>-49.141491945737343</c:v>
                </c:pt>
                <c:pt idx="502">
                  <c:v>-49.435621929571063</c:v>
                </c:pt>
                <c:pt idx="503">
                  <c:v>-49.731756458682604</c:v>
                </c:pt>
                <c:pt idx="504">
                  <c:v>-50.029916837295573</c:v>
                </c:pt>
                <c:pt idx="505">
                  <c:v>-50.330121616266709</c:v>
                </c:pt>
                <c:pt idx="506">
                  <c:v>-50.632386568609093</c:v>
                </c:pt>
                <c:pt idx="507">
                  <c:v>-50.936724675183676</c:v>
                </c:pt>
                <c:pt idx="508">
                  <c:v>-51.243146120722642</c:v>
                </c:pt>
                <c:pt idx="509">
                  <c:v>-51.551658300257266</c:v>
                </c:pt>
                <c:pt idx="510">
                  <c:v>-51.862265835938565</c:v>
                </c:pt>
                <c:pt idx="511">
                  <c:v>-52.174970604147688</c:v>
                </c:pt>
                <c:pt idx="512">
                  <c:v>-52.489771772709915</c:v>
                </c:pt>
                <c:pt idx="513">
                  <c:v>-52.806665847931612</c:v>
                </c:pt>
                <c:pt idx="514">
                  <c:v>-53.125646731106933</c:v>
                </c:pt>
                <c:pt idx="515">
                  <c:v>-53.446705784056789</c:v>
                </c:pt>
                <c:pt idx="516">
                  <c:v>-53.76983190319433</c:v>
                </c:pt>
                <c:pt idx="517">
                  <c:v>-54.095011601542716</c:v>
                </c:pt>
                <c:pt idx="518">
                  <c:v>-54.42222909808023</c:v>
                </c:pt>
                <c:pt idx="519">
                  <c:v>-54.751466413731606</c:v>
                </c:pt>
                <c:pt idx="520">
                  <c:v>-55.082703473292128</c:v>
                </c:pt>
                <c:pt idx="521">
                  <c:v>-55.415918212534471</c:v>
                </c:pt>
                <c:pt idx="522">
                  <c:v>-55.751086689732503</c:v>
                </c:pt>
                <c:pt idx="523">
                  <c:v>-56.088183200823131</c:v>
                </c:pt>
                <c:pt idx="524">
                  <c:v>-56.427180397422809</c:v>
                </c:pt>
                <c:pt idx="525">
                  <c:v>-56.768049406925137</c:v>
                </c:pt>
                <c:pt idx="526">
                  <c:v>-57.110759953919718</c:v>
                </c:pt>
                <c:pt idx="527">
                  <c:v>-57.455280482193004</c:v>
                </c:pt>
                <c:pt idx="528">
                  <c:v>-57.801578276603919</c:v>
                </c:pt>
                <c:pt idx="529">
                  <c:v>-58.149619584161137</c:v>
                </c:pt>
                <c:pt idx="530">
                  <c:v>-58.49936973366713</c:v>
                </c:pt>
                <c:pt idx="531">
                  <c:v>-58.850793253344882</c:v>
                </c:pt>
                <c:pt idx="532">
                  <c:v>-59.203853985903017</c:v>
                </c:pt>
                <c:pt idx="533">
                  <c:v>-59.558515200556172</c:v>
                </c:pt>
                <c:pt idx="534">
                  <c:v>-59.914739701558346</c:v>
                </c:pt>
                <c:pt idx="535">
                  <c:v>-60.272489932870116</c:v>
                </c:pt>
                <c:pt idx="536">
                  <c:v>-60.63172807862788</c:v>
                </c:pt>
                <c:pt idx="537">
                  <c:v>-60.992416159140504</c:v>
                </c:pt>
                <c:pt idx="538">
                  <c:v>-61.354516122183881</c:v>
                </c:pt>
                <c:pt idx="539">
                  <c:v>-61.717989929421115</c:v>
                </c:pt>
                <c:pt idx="540">
                  <c:v>-62.082799637818937</c:v>
                </c:pt>
                <c:pt idx="541">
                  <c:v>-62.448907475976021</c:v>
                </c:pt>
              </c:numCache>
            </c:numRef>
          </c:yVal>
          <c:smooth val="1"/>
          <c:extLst>
            <c:ext xmlns:c16="http://schemas.microsoft.com/office/drawing/2014/chart" uri="{C3380CC4-5D6E-409C-BE32-E72D297353CC}">
              <c16:uniqueId val="{00000000-2470-421C-8EF3-DF4BAC2DF802}"/>
            </c:ext>
          </c:extLst>
        </c:ser>
        <c:ser>
          <c:idx val="2"/>
          <c:order val="2"/>
          <c:tx>
            <c:v>f_LP</c:v>
          </c:tx>
          <c:spPr>
            <a:ln w="38100" cmpd="sng"/>
          </c:spPr>
          <c:marker>
            <c:symbol val="x"/>
            <c:size val="7"/>
            <c:spPr>
              <a:noFill/>
            </c:spPr>
          </c:marker>
          <c:dPt>
            <c:idx val="0"/>
            <c:marker>
              <c:spPr>
                <a:noFill/>
                <a:ln w="19050">
                  <a:solidFill>
                    <a:schemeClr val="tx1"/>
                  </a:solidFill>
                </a:ln>
              </c:spPr>
            </c:marker>
            <c:bubble3D val="0"/>
            <c:extLst>
              <c:ext xmlns:c16="http://schemas.microsoft.com/office/drawing/2014/chart" uri="{C3380CC4-5D6E-409C-BE32-E72D297353CC}">
                <c16:uniqueId val="{00000001-2470-421C-8EF3-DF4BAC2DF802}"/>
              </c:ext>
            </c:extLst>
          </c:dPt>
          <c:dLbls>
            <c:dLbl>
              <c:idx val="0"/>
              <c:tx>
                <c:rich>
                  <a:bodyPr/>
                  <a:lstStyle/>
                  <a:p>
                    <a:r>
                      <a:rPr lang="en-US" sz="1100" b="1"/>
                      <a:t>f</a:t>
                    </a:r>
                    <a:r>
                      <a:rPr lang="en-US" sz="1100" b="1" baseline="-25000"/>
                      <a:t>LP</a:t>
                    </a:r>
                    <a:endParaRPr lang="en-US" b="1" baseline="-25000"/>
                  </a:p>
                </c:rich>
              </c:tx>
              <c:dLblPos val="b"/>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470-421C-8EF3-DF4BAC2DF802}"/>
                </c:ext>
              </c:extLst>
            </c:dLbl>
            <c:spPr>
              <a:noFill/>
              <a:ln>
                <a:noFill/>
              </a:ln>
              <a:effectLst/>
            </c:sp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Loop_Modeling!$O$11</c:f>
              <c:numCache>
                <c:formatCode>0</c:formatCode>
                <c:ptCount val="1"/>
                <c:pt idx="0">
                  <c:v>21.220659078919379</c:v>
                </c:pt>
              </c:numCache>
            </c:numRef>
          </c:xVal>
          <c:yVal>
            <c:numRef>
              <c:f>Loop_Modeling!$AT$11</c:f>
              <c:numCache>
                <c:formatCode>0.000</c:formatCode>
                <c:ptCount val="1"/>
                <c:pt idx="0">
                  <c:v>69.953899829025829</c:v>
                </c:pt>
              </c:numCache>
            </c:numRef>
          </c:yVal>
          <c:smooth val="0"/>
          <c:extLst>
            <c:ext xmlns:c16="http://schemas.microsoft.com/office/drawing/2014/chart" uri="{C3380CC4-5D6E-409C-BE32-E72D297353CC}">
              <c16:uniqueId val="{00000002-2470-421C-8EF3-DF4BAC2DF802}"/>
            </c:ext>
          </c:extLst>
        </c:ser>
        <c:ser>
          <c:idx val="3"/>
          <c:order val="3"/>
          <c:tx>
            <c:v>fz_rhp</c:v>
          </c:tx>
          <c:spPr>
            <a:ln>
              <a:solidFill>
                <a:schemeClr val="tx1"/>
              </a:solidFill>
            </a:ln>
          </c:spPr>
          <c:marker>
            <c:symbol val="circle"/>
            <c:size val="7"/>
            <c:spPr>
              <a:noFill/>
              <a:ln w="19050">
                <a:solidFill>
                  <a:schemeClr val="tx1"/>
                </a:solidFill>
              </a:ln>
            </c:spPr>
          </c:marker>
          <c:dLbls>
            <c:dLbl>
              <c:idx val="0"/>
              <c:layout>
                <c:manualLayout>
                  <c:x val="8.0501209561423519E-3"/>
                  <c:y val="-1.5493667278504181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470-421C-8EF3-DF4BAC2DF802}"/>
                </c:ext>
              </c:extLst>
            </c:dLbl>
            <c:spPr>
              <a:noFill/>
              <a:ln>
                <a:noFill/>
              </a:ln>
              <a:effectLst/>
            </c:spPr>
            <c:txPr>
              <a:bodyPr/>
              <a:lstStyle/>
              <a:p>
                <a:pPr>
                  <a:defRPr b="1"/>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Loop_Modeling!$O$9</c:f>
              <c:numCache>
                <c:formatCode>0</c:formatCode>
                <c:ptCount val="1"/>
                <c:pt idx="0">
                  <c:v>224689.3314238523</c:v>
                </c:pt>
              </c:numCache>
            </c:numRef>
          </c:xVal>
          <c:yVal>
            <c:numRef>
              <c:f>Loop_Modeling!$AT$9</c:f>
              <c:numCache>
                <c:formatCode>0.000</c:formatCode>
                <c:ptCount val="1"/>
                <c:pt idx="0">
                  <c:v>-31.574245252046396</c:v>
                </c:pt>
              </c:numCache>
            </c:numRef>
          </c:yVal>
          <c:smooth val="1"/>
          <c:extLst>
            <c:ext xmlns:c16="http://schemas.microsoft.com/office/drawing/2014/chart" uri="{C3380CC4-5D6E-409C-BE32-E72D297353CC}">
              <c16:uniqueId val="{00000004-2470-421C-8EF3-DF4BAC2DF802}"/>
            </c:ext>
          </c:extLst>
        </c:ser>
        <c:ser>
          <c:idx val="4"/>
          <c:order val="4"/>
          <c:tx>
            <c:v>f_esr</c:v>
          </c:tx>
          <c:spPr>
            <a:ln>
              <a:noFill/>
            </a:ln>
          </c:spPr>
          <c:marker>
            <c:symbol val="circle"/>
            <c:size val="5"/>
            <c:spPr>
              <a:noFill/>
              <a:ln w="19050">
                <a:solidFill>
                  <a:schemeClr val="tx1"/>
                </a:solidFill>
              </a:ln>
            </c:spPr>
          </c:marker>
          <c:dPt>
            <c:idx val="0"/>
            <c:marker>
              <c:symbol val="circle"/>
              <c:size val="7"/>
            </c:marker>
            <c:bubble3D val="0"/>
            <c:extLst>
              <c:ext xmlns:c16="http://schemas.microsoft.com/office/drawing/2014/chart" uri="{C3380CC4-5D6E-409C-BE32-E72D297353CC}">
                <c16:uniqueId val="{00000005-2470-421C-8EF3-DF4BAC2DF802}"/>
              </c:ext>
            </c:extLst>
          </c:dPt>
          <c:dLbls>
            <c:dLbl>
              <c:idx val="0"/>
              <c:layout>
                <c:manualLayout>
                  <c:x val="-5.990474489899654E-2"/>
                  <c:y val="-1.2457193490087108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2470-421C-8EF3-DF4BAC2DF802}"/>
                </c:ext>
              </c:extLst>
            </c:dLbl>
            <c:spPr>
              <a:noFill/>
              <a:ln>
                <a:noFill/>
              </a:ln>
              <a:effectLst/>
            </c:spPr>
            <c:txPr>
              <a:bodyPr/>
              <a:lstStyle/>
              <a:p>
                <a:pPr>
                  <a:defRPr b="1"/>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Loop_Modeling!$O$10</c:f>
              <c:numCache>
                <c:formatCode>0</c:formatCode>
                <c:ptCount val="1"/>
                <c:pt idx="0">
                  <c:v>31830.988618379062</c:v>
                </c:pt>
              </c:numCache>
            </c:numRef>
          </c:xVal>
          <c:yVal>
            <c:numRef>
              <c:f>Loop_Modeling!$AT$10</c:f>
              <c:numCache>
                <c:formatCode>0.000</c:formatCode>
                <c:ptCount val="1"/>
                <c:pt idx="0">
                  <c:v>-9.00203715607989</c:v>
                </c:pt>
              </c:numCache>
            </c:numRef>
          </c:yVal>
          <c:smooth val="1"/>
          <c:extLst>
            <c:ext xmlns:c16="http://schemas.microsoft.com/office/drawing/2014/chart" uri="{C3380CC4-5D6E-409C-BE32-E72D297353CC}">
              <c16:uniqueId val="{00000006-2470-421C-8EF3-DF4BAC2DF802}"/>
            </c:ext>
          </c:extLst>
        </c:ser>
        <c:ser>
          <c:idx val="5"/>
          <c:order val="5"/>
          <c:tx>
            <c:v>fz_ea</c:v>
          </c:tx>
          <c:marker>
            <c:symbol val="circle"/>
            <c:size val="8"/>
            <c:spPr>
              <a:noFill/>
              <a:ln w="25400">
                <a:solidFill>
                  <a:srgbClr val="00B0F0"/>
                </a:solidFill>
              </a:ln>
            </c:spPr>
          </c:marker>
          <c:dLbls>
            <c:dLbl>
              <c:idx val="0"/>
              <c:spPr/>
              <c:txPr>
                <a:bodyPr/>
                <a:lstStyle/>
                <a:p>
                  <a:pPr>
                    <a:defRPr b="1"/>
                  </a:pPr>
                  <a:endParaRPr lang="en-US"/>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2470-421C-8EF3-DF4BAC2DF80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Loop_Modeling!$O$12</c:f>
              <c:numCache>
                <c:formatCode>General</c:formatCode>
                <c:ptCount val="1"/>
                <c:pt idx="0">
                  <c:v>106.10329539459688</c:v>
                </c:pt>
              </c:numCache>
            </c:numRef>
          </c:xVal>
          <c:yVal>
            <c:numRef>
              <c:f>Loop_Modeling!$AT$12</c:f>
              <c:numCache>
                <c:formatCode>0.000</c:formatCode>
                <c:ptCount val="1"/>
                <c:pt idx="0">
                  <c:v>47.674886416666205</c:v>
                </c:pt>
              </c:numCache>
            </c:numRef>
          </c:yVal>
          <c:smooth val="1"/>
          <c:extLst>
            <c:ext xmlns:c16="http://schemas.microsoft.com/office/drawing/2014/chart" uri="{C3380CC4-5D6E-409C-BE32-E72D297353CC}">
              <c16:uniqueId val="{00000008-2470-421C-8EF3-DF4BAC2DF802}"/>
            </c:ext>
          </c:extLst>
        </c:ser>
        <c:ser>
          <c:idx val="6"/>
          <c:order val="6"/>
          <c:tx>
            <c:v>fp_ea</c:v>
          </c:tx>
          <c:marker>
            <c:symbol val="x"/>
            <c:size val="7"/>
            <c:spPr>
              <a:noFill/>
              <a:ln w="25400">
                <a:solidFill>
                  <a:srgbClr val="00B0F0"/>
                </a:solidFill>
              </a:ln>
            </c:spPr>
          </c:marker>
          <c:dLbls>
            <c:dLbl>
              <c:idx val="0"/>
              <c:layout>
                <c:manualLayout>
                  <c:x val="-5.3995739911983948E-2"/>
                  <c:y val="3.3712510009006609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470-421C-8EF3-DF4BAC2DF802}"/>
                </c:ext>
              </c:extLst>
            </c:dLbl>
            <c:spPr>
              <a:noFill/>
              <a:ln>
                <a:noFill/>
              </a:ln>
              <a:effectLst/>
            </c:spPr>
            <c:txPr>
              <a:bodyPr/>
              <a:lstStyle/>
              <a:p>
                <a:pPr>
                  <a:defRPr b="1"/>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Loop_Modeling!$O$13</c:f>
              <c:numCache>
                <c:formatCode>General</c:formatCode>
                <c:ptCount val="1"/>
                <c:pt idx="0">
                  <c:v>15709.529088717669</c:v>
                </c:pt>
              </c:numCache>
            </c:numRef>
          </c:xVal>
          <c:yVal>
            <c:numRef>
              <c:f>Loop_Modeling!$AT$13</c:f>
              <c:numCache>
                <c:formatCode>0.000</c:formatCode>
                <c:ptCount val="1"/>
                <c:pt idx="0">
                  <c:v>-0.6935946223849877</c:v>
                </c:pt>
              </c:numCache>
            </c:numRef>
          </c:yVal>
          <c:smooth val="1"/>
          <c:extLst>
            <c:ext xmlns:c16="http://schemas.microsoft.com/office/drawing/2014/chart" uri="{C3380CC4-5D6E-409C-BE32-E72D297353CC}">
              <c16:uniqueId val="{0000000A-2470-421C-8EF3-DF4BAC2DF802}"/>
            </c:ext>
          </c:extLst>
        </c:ser>
        <c:dLbls>
          <c:showLegendKey val="0"/>
          <c:showVal val="0"/>
          <c:showCatName val="0"/>
          <c:showSerName val="0"/>
          <c:showPercent val="0"/>
          <c:showBubbleSize val="0"/>
        </c:dLbls>
        <c:axId val="144369152"/>
        <c:axId val="144371072"/>
      </c:scatterChart>
      <c:scatterChart>
        <c:scatterStyle val="smoothMarker"/>
        <c:varyColors val="0"/>
        <c:ser>
          <c:idx val="1"/>
          <c:order val="1"/>
          <c:tx>
            <c:v>Phase (deg)</c:v>
          </c:tx>
          <c:spPr>
            <a:ln w="28575">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Loop_Modeling!$AU$19:$AU$560</c:f>
              <c:numCache>
                <c:formatCode>General</c:formatCode>
                <c:ptCount val="542"/>
                <c:pt idx="0">
                  <c:v>69.737668065779829</c:v>
                </c:pt>
                <c:pt idx="1">
                  <c:v>69.344691605276395</c:v>
                </c:pt>
                <c:pt idx="2">
                  <c:v>68.947279538516952</c:v>
                </c:pt>
                <c:pt idx="3">
                  <c:v>68.545572839893055</c:v>
                </c:pt>
                <c:pt idx="4">
                  <c:v>68.139724770983619</c:v>
                </c:pt>
                <c:pt idx="5">
                  <c:v>67.729901156517101</c:v>
                </c:pt>
                <c:pt idx="6">
                  <c:v>67.316280630613917</c:v>
                </c:pt>
                <c:pt idx="7">
                  <c:v>66.899054850027468</c:v>
                </c:pt>
                <c:pt idx="8">
                  <c:v>66.478428671109484</c:v>
                </c:pt>
                <c:pt idx="9">
                  <c:v>66.054620287280812</c:v>
                </c:pt>
                <c:pt idx="10">
                  <c:v>65.627861323869311</c:v>
                </c:pt>
                <c:pt idx="11">
                  <c:v>65.19839688730859</c:v>
                </c:pt>
                <c:pt idx="12">
                  <c:v>64.766485565854538</c:v>
                </c:pt>
                <c:pt idx="13">
                  <c:v>64.332399379191742</c:v>
                </c:pt>
                <c:pt idx="14">
                  <c:v>63.896423674555713</c:v>
                </c:pt>
                <c:pt idx="15">
                  <c:v>63.458856967290636</c:v>
                </c:pt>
                <c:pt idx="16">
                  <c:v>63.02001072410453</c:v>
                </c:pt>
                <c:pt idx="17">
                  <c:v>62.5802090876591</c:v>
                </c:pt>
                <c:pt idx="18">
                  <c:v>62.139788541546075</c:v>
                </c:pt>
                <c:pt idx="19">
                  <c:v>61.699097515149525</c:v>
                </c:pt>
                <c:pt idx="20">
                  <c:v>61.258495928366266</c:v>
                </c:pt>
                <c:pt idx="21">
                  <c:v>60.8183546766532</c:v>
                </c:pt>
                <c:pt idx="22">
                  <c:v>60.37905505738479</c:v>
                </c:pt>
                <c:pt idx="23">
                  <c:v>59.940988139019744</c:v>
                </c:pt>
                <c:pt idx="24">
                  <c:v>59.504554075102867</c:v>
                </c:pt>
                <c:pt idx="25">
                  <c:v>59.07016136563967</c:v>
                </c:pt>
                <c:pt idx="26">
                  <c:v>58.63822606887944</c:v>
                </c:pt>
                <c:pt idx="27">
                  <c:v>58.209170967022125</c:v>
                </c:pt>
                <c:pt idx="28">
                  <c:v>57.783424689804207</c:v>
                </c:pt>
                <c:pt idx="29">
                  <c:v>57.361420800324055</c:v>
                </c:pt>
                <c:pt idx="30">
                  <c:v>56.943596847824196</c:v>
                </c:pt>
                <c:pt idx="31">
                  <c:v>56.530393392451494</c:v>
                </c:pt>
                <c:pt idx="32">
                  <c:v>56.122253007262479</c:v>
                </c:pt>
                <c:pt idx="33">
                  <c:v>55.719619262913938</c:v>
                </c:pt>
                <c:pt idx="34">
                  <c:v>55.322935700600645</c:v>
                </c:pt>
                <c:pt idx="35">
                  <c:v>54.932644798847612</c:v>
                </c:pt>
                <c:pt idx="36">
                  <c:v>54.549186939720819</c:v>
                </c:pt>
                <c:pt idx="37">
                  <c:v>54.172999379949459</c:v>
                </c:pt>
                <c:pt idx="38">
                  <c:v>53.804515232277275</c:v>
                </c:pt>
                <c:pt idx="39">
                  <c:v>53.444162462129235</c:v>
                </c:pt>
                <c:pt idx="40">
                  <c:v>53.092362904410408</c:v>
                </c:pt>
                <c:pt idx="41">
                  <c:v>52.749531304904046</c:v>
                </c:pt>
                <c:pt idx="42">
                  <c:v>52.416074390356535</c:v>
                </c:pt>
                <c:pt idx="43">
                  <c:v>52.092389970910709</c:v>
                </c:pt>
                <c:pt idx="44">
                  <c:v>51.778866078102148</c:v>
                </c:pt>
                <c:pt idx="45">
                  <c:v>51.475880141145346</c:v>
                </c:pt>
                <c:pt idx="46">
                  <c:v>51.183798203765214</c:v>
                </c:pt>
                <c:pt idx="47">
                  <c:v>50.902974183317518</c:v>
                </c:pt>
                <c:pt idx="48">
                  <c:v>50.633749173470321</c:v>
                </c:pt>
                <c:pt idx="49">
                  <c:v>50.376450791230383</c:v>
                </c:pt>
                <c:pt idx="50">
                  <c:v>50.131392568653958</c:v>
                </c:pt>
                <c:pt idx="51">
                  <c:v>49.898873389139247</c:v>
                </c:pt>
                <c:pt idx="52">
                  <c:v>49.679176967822329</c:v>
                </c:pt>
                <c:pt idx="53">
                  <c:v>49.472571375228668</c:v>
                </c:pt>
                <c:pt idx="54">
                  <c:v>49.279308603025143</c:v>
                </c:pt>
                <c:pt idx="55">
                  <c:v>49.099624170462519</c:v>
                </c:pt>
                <c:pt idx="56">
                  <c:v>48.933736769870272</c:v>
                </c:pt>
                <c:pt idx="57">
                  <c:v>48.781847949414399</c:v>
                </c:pt>
                <c:pt idx="58">
                  <c:v>48.644141831213418</c:v>
                </c:pt>
                <c:pt idx="59">
                  <c:v>48.520784862847215</c:v>
                </c:pt>
                <c:pt idx="60">
                  <c:v>48.411925600290452</c:v>
                </c:pt>
                <c:pt idx="61">
                  <c:v>48.317694520332758</c:v>
                </c:pt>
                <c:pt idx="62">
                  <c:v>48.238203860642578</c:v>
                </c:pt>
                <c:pt idx="63">
                  <c:v>48.173547485748294</c:v>
                </c:pt>
                <c:pt idx="64">
                  <c:v>48.123800777388873</c:v>
                </c:pt>
                <c:pt idx="65">
                  <c:v>48.089020547866724</c:v>
                </c:pt>
                <c:pt idx="66">
                  <c:v>48.069244975286082</c:v>
                </c:pt>
                <c:pt idx="67">
                  <c:v>48.064493559790094</c:v>
                </c:pt>
                <c:pt idx="68">
                  <c:v>48.07476710019273</c:v>
                </c:pt>
                <c:pt idx="69">
                  <c:v>48.100047690682857</c:v>
                </c:pt>
                <c:pt idx="70">
                  <c:v>48.140298737558773</c:v>
                </c:pt>
                <c:pt idx="71">
                  <c:v>48.195464996251083</c:v>
                </c:pt>
                <c:pt idx="72">
                  <c:v>48.26547262916673</c:v>
                </c:pt>
                <c:pt idx="73">
                  <c:v>48.350229285169036</c:v>
                </c:pt>
                <c:pt idx="74">
                  <c:v>48.449624201757864</c:v>
                </c:pt>
                <c:pt idx="75">
                  <c:v>48.563528331253565</c:v>
                </c:pt>
                <c:pt idx="76">
                  <c:v>48.691794492492605</c:v>
                </c:pt>
                <c:pt idx="77">
                  <c:v>48.834257549714522</c:v>
                </c:pt>
                <c:pt idx="78">
                  <c:v>48.990734620463378</c:v>
                </c:pt>
                <c:pt idx="79">
                  <c:v>49.1610253144163</c:v>
                </c:pt>
                <c:pt idx="80">
                  <c:v>49.34491200510675</c:v>
                </c:pt>
                <c:pt idx="81">
                  <c:v>49.542160136509224</c:v>
                </c:pt>
                <c:pt idx="82">
                  <c:v>49.752518566410551</c:v>
                </c:pt>
                <c:pt idx="83">
                  <c:v>49.975719948393383</c:v>
                </c:pt>
                <c:pt idx="84">
                  <c:v>50.21148115410292</c:v>
                </c:pt>
                <c:pt idx="85">
                  <c:v>50.459503737276933</c:v>
                </c:pt>
                <c:pt idx="86">
                  <c:v>50.719474440755384</c:v>
                </c:pt>
                <c:pt idx="87">
                  <c:v>50.991065747398707</c:v>
                </c:pt>
                <c:pt idx="88">
                  <c:v>51.273936475488398</c:v>
                </c:pt>
                <c:pt idx="89">
                  <c:v>51.567732418808696</c:v>
                </c:pt>
                <c:pt idx="90">
                  <c:v>51.872087031180904</c:v>
                </c:pt>
                <c:pt idx="91">
                  <c:v>52.186622154776913</c:v>
                </c:pt>
                <c:pt idx="92">
                  <c:v>52.510948791067406</c:v>
                </c:pt>
                <c:pt idx="93">
                  <c:v>52.844667912770362</c:v>
                </c:pt>
                <c:pt idx="94">
                  <c:v>53.187371314676973</c:v>
                </c:pt>
                <c:pt idx="95">
                  <c:v>53.538642500740401</c:v>
                </c:pt>
                <c:pt idx="96">
                  <c:v>53.898057604333594</c:v>
                </c:pt>
                <c:pt idx="97">
                  <c:v>54.265186338117843</c:v>
                </c:pt>
                <c:pt idx="98">
                  <c:v>54.639592969543664</c:v>
                </c:pt>
                <c:pt idx="99">
                  <c:v>55.020837317596644</c:v>
                </c:pt>
                <c:pt idx="100">
                  <c:v>55.408475766061933</c:v>
                </c:pt>
                <c:pt idx="101">
                  <c:v>55.802062288278329</c:v>
                </c:pt>
                <c:pt idx="102">
                  <c:v>56.201149478106586</c:v>
                </c:pt>
                <c:pt idx="103">
                  <c:v>56.605289581676935</c:v>
                </c:pt>
                <c:pt idx="104">
                  <c:v>57.014035524333231</c:v>
                </c:pt>
                <c:pt idx="105">
                  <c:v>57.426941927195934</c:v>
                </c:pt>
                <c:pt idx="106">
                  <c:v>57.84356610774617</c:v>
                </c:pt>
                <c:pt idx="107">
                  <c:v>58.263469058958798</c:v>
                </c:pt>
                <c:pt idx="108">
                  <c:v>58.686216401669327</c:v>
                </c:pt>
                <c:pt idx="109">
                  <c:v>59.111379305079076</c:v>
                </c:pt>
                <c:pt idx="110">
                  <c:v>59.538535370606255</c:v>
                </c:pt>
                <c:pt idx="111">
                  <c:v>59.967269474622228</c:v>
                </c:pt>
                <c:pt idx="112">
                  <c:v>60.397174566014328</c:v>
                </c:pt>
                <c:pt idx="113">
                  <c:v>60.827852414948474</c:v>
                </c:pt>
                <c:pt idx="114">
                  <c:v>61.258914309663638</c:v>
                </c:pt>
                <c:pt idx="115">
                  <c:v>61.689981698646882</c:v>
                </c:pt>
                <c:pt idx="116">
                  <c:v>62.120686776020072</c:v>
                </c:pt>
                <c:pt idx="117">
                  <c:v>62.550673008519652</c:v>
                </c:pt>
                <c:pt idx="118">
                  <c:v>62.979595602941913</c:v>
                </c:pt>
                <c:pt idx="119">
                  <c:v>63.407121913474604</c:v>
                </c:pt>
                <c:pt idx="120">
                  <c:v>63.832931788801488</c:v>
                </c:pt>
                <c:pt idx="121">
                  <c:v>64.256717859379535</c:v>
                </c:pt>
                <c:pt idx="122">
                  <c:v>64.678185765715938</c:v>
                </c:pt>
                <c:pt idx="123">
                  <c:v>65.097054328910986</c:v>
                </c:pt>
                <c:pt idx="124">
                  <c:v>65.513055665115232</c:v>
                </c:pt>
                <c:pt idx="125">
                  <c:v>65.925935245894095</c:v>
                </c:pt>
                <c:pt idx="126">
                  <c:v>66.335451906806526</c:v>
                </c:pt>
                <c:pt idx="127">
                  <c:v>66.741377806763609</c:v>
                </c:pt>
                <c:pt idx="128">
                  <c:v>67.143498340959212</c:v>
                </c:pt>
                <c:pt idx="129">
                  <c:v>67.541612010343002</c:v>
                </c:pt>
                <c:pt idx="130">
                  <c:v>67.935530250738623</c:v>
                </c:pt>
                <c:pt idx="131">
                  <c:v>68.325077224812958</c:v>
                </c:pt>
                <c:pt idx="132">
                  <c:v>68.710089580155042</c:v>
                </c:pt>
                <c:pt idx="133">
                  <c:v>69.090416176749443</c:v>
                </c:pt>
                <c:pt idx="134">
                  <c:v>69.465917787111891</c:v>
                </c:pt>
                <c:pt idx="135">
                  <c:v>69.836466772319937</c:v>
                </c:pt>
                <c:pt idx="136">
                  <c:v>70.201946737097245</c:v>
                </c:pt>
                <c:pt idx="137">
                  <c:v>70.562252167020787</c:v>
                </c:pt>
                <c:pt idx="138">
                  <c:v>70.917288050805709</c:v>
                </c:pt>
                <c:pt idx="139">
                  <c:v>71.266969490496962</c:v>
                </c:pt>
                <c:pt idx="140">
                  <c:v>71.611221302244061</c:v>
                </c:pt>
                <c:pt idx="141">
                  <c:v>71.949977610193287</c:v>
                </c:pt>
                <c:pt idx="142">
                  <c:v>72.283181435855198</c:v>
                </c:pt>
                <c:pt idx="143">
                  <c:v>72.610784285149805</c:v>
                </c:pt>
                <c:pt idx="144">
                  <c:v>72.932745735151812</c:v>
                </c:pt>
                <c:pt idx="145">
                  <c:v>73.24903302239052</c:v>
                </c:pt>
                <c:pt idx="146">
                  <c:v>73.559620634386675</c:v>
                </c:pt>
                <c:pt idx="147">
                  <c:v>73.864489905944424</c:v>
                </c:pt>
                <c:pt idx="148">
                  <c:v>74.163628621545129</c:v>
                </c:pt>
                <c:pt idx="149">
                  <c:v>74.457030625040318</c:v>
                </c:pt>
                <c:pt idx="150">
                  <c:v>74.744695437686346</c:v>
                </c:pt>
                <c:pt idx="151">
                  <c:v>75.026627885414356</c:v>
                </c:pt>
                <c:pt idx="152">
                  <c:v>75.302837736101651</c:v>
                </c:pt>
                <c:pt idx="153">
                  <c:v>75.57333934747615</c:v>
                </c:pt>
                <c:pt idx="154">
                  <c:v>75.838151326166638</c:v>
                </c:pt>
                <c:pt idx="155">
                  <c:v>76.097296198305585</c:v>
                </c:pt>
                <c:pt idx="156">
                  <c:v>76.350800091982606</c:v>
                </c:pt>
                <c:pt idx="157">
                  <c:v>76.598692431759972</c:v>
                </c:pt>
                <c:pt idx="158">
                  <c:v>76.841005645372604</c:v>
                </c:pt>
                <c:pt idx="159">
                  <c:v>77.077774882657977</c:v>
                </c:pt>
                <c:pt idx="160">
                  <c:v>77.309037746699687</c:v>
                </c:pt>
                <c:pt idx="161">
                  <c:v>77.534834037096473</c:v>
                </c:pt>
                <c:pt idx="162">
                  <c:v>77.755205505224311</c:v>
                </c:pt>
                <c:pt idx="163">
                  <c:v>77.97019562130869</c:v>
                </c:pt>
                <c:pt idx="164">
                  <c:v>78.179849353081693</c:v>
                </c:pt>
                <c:pt idx="165">
                  <c:v>78.38421295576677</c:v>
                </c:pt>
                <c:pt idx="166">
                  <c:v>78.58333377310295</c:v>
                </c:pt>
                <c:pt idx="167">
                  <c:v>78.777260049097876</c:v>
                </c:pt>
                <c:pt idx="168">
                  <c:v>78.966040750177612</c:v>
                </c:pt>
                <c:pt idx="169">
                  <c:v>79.14972539738541</c:v>
                </c:pt>
                <c:pt idx="170">
                  <c:v>79.328363908273772</c:v>
                </c:pt>
                <c:pt idx="171">
                  <c:v>79.502006448120255</c:v>
                </c:pt>
                <c:pt idx="172">
                  <c:v>79.670703290098771</c:v>
                </c:pt>
                <c:pt idx="173">
                  <c:v>79.834504684028829</c:v>
                </c:pt>
                <c:pt idx="174">
                  <c:v>79.993460733331901</c:v>
                </c:pt>
                <c:pt idx="175">
                  <c:v>80.14762127982172</c:v>
                </c:pt>
                <c:pt idx="176">
                  <c:v>80.29703579596125</c:v>
                </c:pt>
                <c:pt idx="177">
                  <c:v>80.441753284223253</c:v>
                </c:pt>
                <c:pt idx="178">
                  <c:v>80.581822183201169</c:v>
                </c:pt>
                <c:pt idx="179">
                  <c:v>80.717290280121915</c:v>
                </c:pt>
                <c:pt idx="180">
                  <c:v>80.848204629422256</c:v>
                </c:pt>
                <c:pt idx="181">
                  <c:v>80.974611477062496</c:v>
                </c:pt>
                <c:pt idx="182">
                  <c:v>81.096556190257829</c:v>
                </c:pt>
                <c:pt idx="183">
                  <c:v>81.214083192322747</c:v>
                </c:pt>
                <c:pt idx="184">
                  <c:v>81.327235902330813</c:v>
                </c:pt>
                <c:pt idx="185">
                  <c:v>81.436056679309985</c:v>
                </c:pt>
                <c:pt idx="186">
                  <c:v>81.540586770696933</c:v>
                </c:pt>
                <c:pt idx="187">
                  <c:v>81.640866264795676</c:v>
                </c:pt>
                <c:pt idx="188">
                  <c:v>81.736934046988438</c:v>
                </c:pt>
                <c:pt idx="189">
                  <c:v>81.828827759464971</c:v>
                </c:pt>
                <c:pt idx="190">
                  <c:v>81.916583764246127</c:v>
                </c:pt>
                <c:pt idx="191">
                  <c:v>82.000237109288008</c:v>
                </c:pt>
                <c:pt idx="192">
                  <c:v>82.079821497466597</c:v>
                </c:pt>
                <c:pt idx="193">
                  <c:v>82.155369258253245</c:v>
                </c:pt>
                <c:pt idx="194">
                  <c:v>82.226911321901113</c:v>
                </c:pt>
                <c:pt idx="195">
                  <c:v>82.294477195976583</c:v>
                </c:pt>
                <c:pt idx="196">
                  <c:v>82.358094944076782</c:v>
                </c:pt>
                <c:pt idx="197">
                  <c:v>82.417791166587065</c:v>
                </c:pt>
                <c:pt idx="198">
                  <c:v>82.473590983341509</c:v>
                </c:pt>
                <c:pt idx="199">
                  <c:v>82.52551801805923</c:v>
                </c:pt>
                <c:pt idx="200">
                  <c:v>82.573594384439176</c:v>
                </c:pt>
                <c:pt idx="201">
                  <c:v>82.617840673805034</c:v>
                </c:pt>
                <c:pt idx="202">
                  <c:v>82.658275944201122</c:v>
                </c:pt>
                <c:pt idx="203">
                  <c:v>82.694917710849296</c:v>
                </c:pt>
                <c:pt idx="204">
                  <c:v>82.727781937884558</c:v>
                </c:pt>
                <c:pt idx="205">
                  <c:v>82.756883031296525</c:v>
                </c:pt>
                <c:pt idx="206">
                  <c:v>82.782233833011958</c:v>
                </c:pt>
                <c:pt idx="207">
                  <c:v>82.803845616060002</c:v>
                </c:pt>
                <c:pt idx="208">
                  <c:v>82.821728080772743</c:v>
                </c:pt>
                <c:pt idx="209">
                  <c:v>82.835889351978238</c:v>
                </c:pt>
                <c:pt idx="210">
                  <c:v>82.846335977153359</c:v>
                </c:pt>
                <c:pt idx="211">
                  <c:v>82.853072925508414</c:v>
                </c:pt>
                <c:pt idx="212">
                  <c:v>82.856103587987079</c:v>
                </c:pt>
                <c:pt idx="213">
                  <c:v>82.855429778168428</c:v>
                </c:pt>
                <c:pt idx="214">
                  <c:v>82.851051734066985</c:v>
                </c:pt>
                <c:pt idx="215">
                  <c:v>82.842968120834314</c:v>
                </c:pt>
                <c:pt idx="216">
                  <c:v>82.831176034372788</c:v>
                </c:pt>
                <c:pt idx="217">
                  <c:v>82.815671005878812</c:v>
                </c:pt>
                <c:pt idx="218">
                  <c:v>82.796447007339737</c:v>
                </c:pt>
                <c:pt idx="219">
                  <c:v>82.773496458018556</c:v>
                </c:pt>
                <c:pt idx="220">
                  <c:v>82.746810231964119</c:v>
                </c:pt>
                <c:pt idx="221">
                  <c:v>82.71637766659542</c:v>
                </c:pt>
                <c:pt idx="222">
                  <c:v>82.682186572414764</c:v>
                </c:pt>
                <c:pt idx="223">
                  <c:v>82.644223243910375</c:v>
                </c:pt>
                <c:pt idx="224">
                  <c:v>82.602472471721967</c:v>
                </c:pt>
                <c:pt idx="225">
                  <c:v>82.556917556144342</c:v>
                </c:pt>
                <c:pt idx="226">
                  <c:v>82.507540322057011</c:v>
                </c:pt>
                <c:pt idx="227">
                  <c:v>82.45432113537386</c:v>
                </c:pt>
                <c:pt idx="228">
                  <c:v>82.397238921115644</c:v>
                </c:pt>
                <c:pt idx="229">
                  <c:v>82.336271183216169</c:v>
                </c:pt>
                <c:pt idx="230">
                  <c:v>82.271394026183117</c:v>
                </c:pt>
                <c:pt idx="231">
                  <c:v>82.202582178741906</c:v>
                </c:pt>
                <c:pt idx="232">
                  <c:v>82.129809019599222</c:v>
                </c:pt>
                <c:pt idx="233">
                  <c:v>82.053046605474677</c:v>
                </c:pt>
                <c:pt idx="234">
                  <c:v>81.972265701555784</c:v>
                </c:pt>
                <c:pt idx="235">
                  <c:v>81.887435814540794</c:v>
                </c:pt>
                <c:pt idx="236">
                  <c:v>81.798525228445968</c:v>
                </c:pt>
                <c:pt idx="237">
                  <c:v>81.70550104335824</c:v>
                </c:pt>
                <c:pt idx="238">
                  <c:v>81.608329217330535</c:v>
                </c:pt>
                <c:pt idx="239">
                  <c:v>81.50697461161711</c:v>
                </c:pt>
                <c:pt idx="240">
                  <c:v>81.401401039466904</c:v>
                </c:pt>
                <c:pt idx="241">
                  <c:v>81.291571318689662</c:v>
                </c:pt>
                <c:pt idx="242">
                  <c:v>81.177447328228752</c:v>
                </c:pt>
                <c:pt idx="243">
                  <c:v>81.05899006897576</c:v>
                </c:pt>
                <c:pt idx="244">
                  <c:v>80.936159729074447</c:v>
                </c:pt>
                <c:pt idx="245">
                  <c:v>80.80891575396582</c:v>
                </c:pt>
                <c:pt idx="246">
                  <c:v>80.677216921435189</c:v>
                </c:pt>
                <c:pt idx="247">
                  <c:v>80.541021421926473</c:v>
                </c:pt>
                <c:pt idx="248">
                  <c:v>80.40028694439313</c:v>
                </c:pt>
                <c:pt idx="249">
                  <c:v>80.254970767962405</c:v>
                </c:pt>
                <c:pt idx="250">
                  <c:v>80.105029859686823</c:v>
                </c:pt>
                <c:pt idx="251">
                  <c:v>79.950420978660432</c:v>
                </c:pt>
                <c:pt idx="252">
                  <c:v>79.791100786778415</c:v>
                </c:pt>
                <c:pt idx="253">
                  <c:v>79.627025966408624</c:v>
                </c:pt>
                <c:pt idx="254">
                  <c:v>79.458153345246345</c:v>
                </c:pt>
                <c:pt idx="255">
                  <c:v>79.284440028608913</c:v>
                </c:pt>
                <c:pt idx="256">
                  <c:v>79.105843539420292</c:v>
                </c:pt>
                <c:pt idx="257">
                  <c:v>78.922321966117082</c:v>
                </c:pt>
                <c:pt idx="258">
                  <c:v>78.733834118693849</c:v>
                </c:pt>
                <c:pt idx="259">
                  <c:v>78.540339693080327</c:v>
                </c:pt>
                <c:pt idx="260">
                  <c:v>78.341799444017269</c:v>
                </c:pt>
                <c:pt idx="261">
                  <c:v>78.138175366568674</c:v>
                </c:pt>
                <c:pt idx="262">
                  <c:v>77.929430886367328</c:v>
                </c:pt>
                <c:pt idx="263">
                  <c:v>77.715531058653582</c:v>
                </c:pt>
                <c:pt idx="264">
                  <c:v>77.49644277611425</c:v>
                </c:pt>
                <c:pt idx="265">
                  <c:v>77.272134985478559</c:v>
                </c:pt>
                <c:pt idx="266">
                  <c:v>77.042578912760675</c:v>
                </c:pt>
                <c:pt idx="267">
                  <c:v>76.807748296978048</c:v>
                </c:pt>
                <c:pt idx="268">
                  <c:v>76.567619632087158</c:v>
                </c:pt>
                <c:pt idx="269">
                  <c:v>76.32217241680604</c:v>
                </c:pt>
                <c:pt idx="270">
                  <c:v>76.071389411889371</c:v>
                </c:pt>
                <c:pt idx="271">
                  <c:v>75.815256904329573</c:v>
                </c:pt>
                <c:pt idx="272">
                  <c:v>75.553764977843201</c:v>
                </c:pt>
                <c:pt idx="273">
                  <c:v>75.286907788884292</c:v>
                </c:pt>
                <c:pt idx="274">
                  <c:v>75.014683847301171</c:v>
                </c:pt>
                <c:pt idx="275">
                  <c:v>74.737096300619257</c:v>
                </c:pt>
                <c:pt idx="276">
                  <c:v>74.454153220786992</c:v>
                </c:pt>
                <c:pt idx="277">
                  <c:v>74.165867892075283</c:v>
                </c:pt>
                <c:pt idx="278">
                  <c:v>73.872259098661416</c:v>
                </c:pt>
                <c:pt idx="279">
                  <c:v>73.573351410271286</c:v>
                </c:pt>
                <c:pt idx="280">
                  <c:v>73.269175464078756</c:v>
                </c:pt>
                <c:pt idx="281">
                  <c:v>72.959768240903088</c:v>
                </c:pt>
                <c:pt idx="282">
                  <c:v>72.645173333560663</c:v>
                </c:pt>
                <c:pt idx="283">
                  <c:v>72.325441205068088</c:v>
                </c:pt>
                <c:pt idx="284">
                  <c:v>72.000629434217814</c:v>
                </c:pt>
                <c:pt idx="285">
                  <c:v>71.670802945888852</c:v>
                </c:pt>
                <c:pt idx="286">
                  <c:v>71.336034223295002</c:v>
                </c:pt>
                <c:pt idx="287">
                  <c:v>70.996403499233637</c:v>
                </c:pt>
                <c:pt idx="288">
                  <c:v>70.651998923259825</c:v>
                </c:pt>
                <c:pt idx="289">
                  <c:v>70.302916701605739</c:v>
                </c:pt>
                <c:pt idx="290">
                  <c:v>69.949261206558688</c:v>
                </c:pt>
                <c:pt idx="291">
                  <c:v>69.591145051960126</c:v>
                </c:pt>
                <c:pt idx="292">
                  <c:v>69.228689131427032</c:v>
                </c:pt>
                <c:pt idx="293">
                  <c:v>68.862022615906739</c:v>
                </c:pt>
                <c:pt idx="294">
                  <c:v>68.491282907187653</c:v>
                </c:pt>
                <c:pt idx="295">
                  <c:v>68.116615544066505</c:v>
                </c:pt>
                <c:pt idx="296">
                  <c:v>67.738174057972657</c:v>
                </c:pt>
                <c:pt idx="297">
                  <c:v>67.356119775005951</c:v>
                </c:pt>
                <c:pt idx="298">
                  <c:v>66.970621561550132</c:v>
                </c:pt>
                <c:pt idx="299">
                  <c:v>66.581855510867143</c:v>
                </c:pt>
                <c:pt idx="300">
                  <c:v>66.190004568390364</c:v>
                </c:pt>
                <c:pt idx="301">
                  <c:v>65.795258093778912</c:v>
                </c:pt>
                <c:pt idx="302">
                  <c:v>65.39781135821184</c:v>
                </c:pt>
                <c:pt idx="303">
                  <c:v>64.997864975847193</c:v>
                </c:pt>
                <c:pt idx="304">
                  <c:v>64.595624268885643</c:v>
                </c:pt>
                <c:pt idx="305">
                  <c:v>64.191298566223381</c:v>
                </c:pt>
                <c:pt idx="306">
                  <c:v>63.785100436270064</c:v>
                </c:pt>
                <c:pt idx="307">
                  <c:v>63.377244855142273</c:v>
                </c:pt>
                <c:pt idx="308">
                  <c:v>62.967948312091274</c:v>
                </c:pt>
                <c:pt idx="309">
                  <c:v>62.557427854713175</c:v>
                </c:pt>
                <c:pt idx="310">
                  <c:v>62.145900077179633</c:v>
                </c:pt>
                <c:pt idx="311">
                  <c:v>61.733580055431901</c:v>
                </c:pt>
                <c:pt idx="312">
                  <c:v>61.320680233978145</c:v>
                </c:pt>
                <c:pt idx="313">
                  <c:v>60.907409269619031</c:v>
                </c:pt>
                <c:pt idx="314">
                  <c:v>60.493970838091336</c:v>
                </c:pt>
                <c:pt idx="315">
                  <c:v>60.080562410244148</c:v>
                </c:pt>
                <c:pt idx="316">
                  <c:v>59.667374004948655</c:v>
                </c:pt>
                <c:pt idx="317">
                  <c:v>59.254586926475255</c:v>
                </c:pt>
                <c:pt idx="318">
                  <c:v>58.842372494539482</c:v>
                </c:pt>
                <c:pt idx="319">
                  <c:v>58.430890775612276</c:v>
                </c:pt>
                <c:pt idx="320">
                  <c:v>58.020289324412865</c:v>
                </c:pt>
                <c:pt idx="321">
                  <c:v>57.610701944730245</c:v>
                </c:pt>
                <c:pt idx="322">
                  <c:v>57.202247478861061</c:v>
                </c:pt>
                <c:pt idx="323">
                  <c:v>56.795028634993756</c:v>
                </c:pt>
                <c:pt idx="324">
                  <c:v>56.389130861820497</c:v>
                </c:pt>
                <c:pt idx="325">
                  <c:v>55.984621279497105</c:v>
                </c:pt>
                <c:pt idx="326">
                  <c:v>55.581547675822755</c:v>
                </c:pt>
                <c:pt idx="327">
                  <c:v>55.179937576156028</c:v>
                </c:pt>
                <c:pt idx="328">
                  <c:v>54.779797395143611</c:v>
                </c:pt>
                <c:pt idx="329">
                  <c:v>54.381111677788113</c:v>
                </c:pt>
                <c:pt idx="330">
                  <c:v>53.983842436778723</c:v>
                </c:pt>
                <c:pt idx="331">
                  <c:v>53.587928592284499</c:v>
                </c:pt>
                <c:pt idx="332">
                  <c:v>53.193285519667583</c:v>
                </c:pt>
                <c:pt idx="333">
                  <c:v>52.799804709717407</c:v>
                </c:pt>
                <c:pt idx="334">
                  <c:v>52.407353545148169</c:v>
                </c:pt>
                <c:pt idx="335">
                  <c:v>52.015775196164455</c:v>
                </c:pt>
                <c:pt idx="336">
                  <c:v>51.624888636963199</c:v>
                </c:pt>
                <c:pt idx="337">
                  <c:v>51.234488784054946</c:v>
                </c:pt>
                <c:pt idx="338">
                  <c:v>50.844346756335796</c:v>
                </c:pt>
                <c:pt idx="339">
                  <c:v>50.454210255847158</c:v>
                </c:pt>
                <c:pt idx="340">
                  <c:v>50.063804067231871</c:v>
                </c:pt>
                <c:pt idx="341">
                  <c:v>49.672830672951427</c:v>
                </c:pt>
                <c:pt idx="342">
                  <c:v>49.280970980461078</c:v>
                </c:pt>
                <c:pt idx="343">
                  <c:v>48.887885156692718</c:v>
                </c:pt>
                <c:pt idx="344">
                  <c:v>48.493213564426277</c:v>
                </c:pt>
                <c:pt idx="345">
                  <c:v>48.096577794418202</c:v>
                </c:pt>
                <c:pt idx="346">
                  <c:v>47.697581786523997</c:v>
                </c:pt>
                <c:pt idx="347">
                  <c:v>47.295813032505578</c:v>
                </c:pt>
                <c:pt idx="348">
                  <c:v>46.890843852737561</c:v>
                </c:pt>
                <c:pt idx="349">
                  <c:v>46.482232738670625</c:v>
                </c:pt>
                <c:pt idx="350">
                  <c:v>46.069525752620365</c:v>
                </c:pt>
                <c:pt idx="351">
                  <c:v>45.65225797626843</c:v>
                </c:pt>
                <c:pt idx="352">
                  <c:v>45.229954999177465</c:v>
                </c:pt>
                <c:pt idx="353">
                  <c:v>44.802134438619845</c:v>
                </c:pt>
                <c:pt idx="354">
                  <c:v>44.368307482113153</c:v>
                </c:pt>
                <c:pt idx="355">
                  <c:v>43.927980444234592</c:v>
                </c:pt>
                <c:pt idx="356">
                  <c:v>43.480656329544132</c:v>
                </c:pt>
                <c:pt idx="357">
                  <c:v>43.02583639375726</c:v>
                </c:pt>
                <c:pt idx="358">
                  <c:v>42.563021695723158</c:v>
                </c:pt>
                <c:pt idx="359">
                  <c:v>42.091714633178796</c:v>
                </c:pt>
                <c:pt idx="360">
                  <c:v>41.611420455758555</c:v>
                </c:pt>
                <c:pt idx="361">
                  <c:v>41.121648749247264</c:v>
                </c:pt>
                <c:pt idx="362">
                  <c:v>40.621914885618601</c:v>
                </c:pt>
                <c:pt idx="363">
                  <c:v>40.111741433950257</c:v>
                </c:pt>
                <c:pt idx="364">
                  <c:v>39.590659527878117</c:v>
                </c:pt>
                <c:pt idx="365">
                  <c:v>39.058210185810033</c:v>
                </c:pt>
                <c:pt idx="366">
                  <c:v>38.513945580647203</c:v>
                </c:pt>
                <c:pt idx="367">
                  <c:v>37.957430256305685</c:v>
                </c:pt>
                <c:pt idx="368">
                  <c:v>37.388242288796789</c:v>
                </c:pt>
                <c:pt idx="369">
                  <c:v>36.805974390098413</c:v>
                </c:pt>
                <c:pt idx="370">
                  <c:v>36.210234953449138</c:v>
                </c:pt>
                <c:pt idx="371">
                  <c:v>35.600649039080494</c:v>
                </c:pt>
                <c:pt idx="372">
                  <c:v>34.976859299719308</c:v>
                </c:pt>
                <c:pt idx="373">
                  <c:v>34.338526845470184</c:v>
                </c:pt>
                <c:pt idx="374">
                  <c:v>33.685332047918791</c:v>
                </c:pt>
                <c:pt idx="375">
                  <c:v>33.016975283487128</c:v>
                </c:pt>
                <c:pt idx="376">
                  <c:v>32.333177616201809</c:v>
                </c:pt>
                <c:pt idx="377">
                  <c:v>31.633681420146623</c:v>
                </c:pt>
                <c:pt idx="378">
                  <c:v>30.918250941934474</c:v>
                </c:pt>
                <c:pt idx="379">
                  <c:v>30.186672803566626</c:v>
                </c:pt>
                <c:pt idx="380">
                  <c:v>29.438756446057113</c:v>
                </c:pt>
                <c:pt idx="381">
                  <c:v>28.674334514196108</c:v>
                </c:pt>
                <c:pt idx="382">
                  <c:v>27.893263182791401</c:v>
                </c:pt>
                <c:pt idx="383">
                  <c:v>27.095422424708357</c:v>
                </c:pt>
                <c:pt idx="384">
                  <c:v>26.280716220988911</c:v>
                </c:pt>
                <c:pt idx="385">
                  <c:v>25.4490727133112</c:v>
                </c:pt>
                <c:pt idx="386">
                  <c:v>24.600444299018783</c:v>
                </c:pt>
                <c:pt idx="387">
                  <c:v>23.734807668961942</c:v>
                </c:pt>
                <c:pt idx="388">
                  <c:v>22.852163788398787</c:v>
                </c:pt>
                <c:pt idx="389">
                  <c:v>21.952537821237307</c:v>
                </c:pt>
                <c:pt idx="390">
                  <c:v>21.035978997968449</c:v>
                </c:pt>
                <c:pt idx="391">
                  <c:v>20.102560427716458</c:v>
                </c:pt>
                <c:pt idx="392">
                  <c:v>19.152378854946324</c:v>
                </c:pt>
                <c:pt idx="393">
                  <c:v>18.185554361500557</c:v>
                </c:pt>
                <c:pt idx="394">
                  <c:v>17.2022300147956</c:v>
                </c:pt>
                <c:pt idx="395">
                  <c:v>16.202571463182839</c:v>
                </c:pt>
                <c:pt idx="396">
                  <c:v>15.186766479674917</c:v>
                </c:pt>
                <c:pt idx="397">
                  <c:v>14.155024455439101</c:v>
                </c:pt>
                <c:pt idx="398">
                  <c:v>13.107575844676116</c:v>
                </c:pt>
                <c:pt idx="399">
                  <c:v>12.044671562714701</c:v>
                </c:pt>
                <c:pt idx="400">
                  <c:v>10.966582339364907</c:v>
                </c:pt>
                <c:pt idx="401">
                  <c:v>9.8735980297703474</c:v>
                </c:pt>
                <c:pt idx="402">
                  <c:v>8.7660268851939627</c:v>
                </c:pt>
                <c:pt idx="403">
                  <c:v>7.6441947863290158</c:v>
                </c:pt>
                <c:pt idx="404">
                  <c:v>6.5084444418800738</c:v>
                </c:pt>
                <c:pt idx="405">
                  <c:v>5.3591345552598888</c:v>
                </c:pt>
                <c:pt idx="406">
                  <c:v>4.1966389623458165</c:v>
                </c:pt>
                <c:pt idx="407">
                  <c:v>3.0213457432739208</c:v>
                </c:pt>
                <c:pt idx="408">
                  <c:v>1.8336563112688011</c:v>
                </c:pt>
                <c:pt idx="409">
                  <c:v>0.63398448149514719</c:v>
                </c:pt>
                <c:pt idx="410">
                  <c:v>-0.57724447714868288</c:v>
                </c:pt>
                <c:pt idx="411">
                  <c:v>-1.7995948044453167</c:v>
                </c:pt>
                <c:pt idx="412">
                  <c:v>-3.0326212227468621</c:v>
                </c:pt>
                <c:pt idx="413">
                  <c:v>-4.2758699197257277</c:v>
                </c:pt>
                <c:pt idx="414">
                  <c:v>-5.5288795375309281</c:v>
                </c:pt>
                <c:pt idx="415">
                  <c:v>-6.7911821660383369</c:v>
                </c:pt>
                <c:pt idx="416">
                  <c:v>-8.0623043380538828</c:v>
                </c:pt>
                <c:pt idx="417">
                  <c:v>-9.3417680244746695</c:v>
                </c:pt>
                <c:pt idx="418">
                  <c:v>-10.629091627568666</c:v>
                </c:pt>
                <c:pt idx="419">
                  <c:v>-11.923790970660605</c:v>
                </c:pt>
                <c:pt idx="420">
                  <c:v>-13.225380282623837</c:v>
                </c:pt>
                <c:pt idx="421">
                  <c:v>-14.533373175666643</c:v>
                </c:pt>
                <c:pt idx="422">
                  <c:v>-15.847283614949337</c:v>
                </c:pt>
                <c:pt idx="423">
                  <c:v>-17.166626878610963</c:v>
                </c:pt>
                <c:pt idx="424">
                  <c:v>-18.490920506750903</c:v>
                </c:pt>
                <c:pt idx="425">
                  <c:v>-19.819685237901179</c:v>
                </c:pt>
                <c:pt idx="426">
                  <c:v>-21.15244593143154</c:v>
                </c:pt>
                <c:pt idx="427">
                  <c:v>-22.488732474238049</c:v>
                </c:pt>
                <c:pt idx="428">
                  <c:v>-23.828080669947493</c:v>
                </c:pt>
                <c:pt idx="429">
                  <c:v>-25.170033108730664</c:v>
                </c:pt>
                <c:pt idx="430">
                  <c:v>-26.51414001564169</c:v>
                </c:pt>
                <c:pt idx="431">
                  <c:v>-27.859960075274017</c:v>
                </c:pt>
                <c:pt idx="432">
                  <c:v>-29.207061230327103</c:v>
                </c:pt>
                <c:pt idx="433">
                  <c:v>-30.555021451556904</c:v>
                </c:pt>
                <c:pt idx="434">
                  <c:v>-31.90342947641728</c:v>
                </c:pt>
                <c:pt idx="435">
                  <c:v>-33.251885513603177</c:v>
                </c:pt>
                <c:pt idx="436">
                  <c:v>-34.600001910603957</c:v>
                </c:pt>
                <c:pt idx="437">
                  <c:v>-35.947403781331154</c:v>
                </c:pt>
                <c:pt idx="438">
                  <c:v>-37.293729590849161</c:v>
                </c:pt>
                <c:pt idx="439">
                  <c:v>-38.638631694283497</c:v>
                </c:pt>
                <c:pt idx="440">
                  <c:v>-39.981776827018372</c:v>
                </c:pt>
                <c:pt idx="441">
                  <c:v>-41.322846543439042</c:v>
                </c:pt>
                <c:pt idx="442">
                  <c:v>-42.661537601594524</c:v>
                </c:pt>
                <c:pt idx="443">
                  <c:v>-43.997562291378557</c:v>
                </c:pt>
                <c:pt idx="444">
                  <c:v>-45.330648704055356</c:v>
                </c:pt>
                <c:pt idx="445">
                  <c:v>-46.660540941226515</c:v>
                </c:pt>
                <c:pt idx="446">
                  <c:v>-47.986999261658823</c:v>
                </c:pt>
                <c:pt idx="447">
                  <c:v>-49.309800164703191</c:v>
                </c:pt>
                <c:pt idx="448">
                  <c:v>-50.628736409421194</c:v>
                </c:pt>
                <c:pt idx="449">
                  <c:v>-51.943616968893174</c:v>
                </c:pt>
                <c:pt idx="450">
                  <c:v>-53.254266919566071</c:v>
                </c:pt>
                <c:pt idx="451">
                  <c:v>-54.560527265906991</c:v>
                </c:pt>
                <c:pt idx="452">
                  <c:v>-55.86225470099432</c:v>
                </c:pt>
                <c:pt idx="453">
                  <c:v>-57.159321304093282</c:v>
                </c:pt>
                <c:pt idx="454">
                  <c:v>-58.451614176601694</c:v>
                </c:pt>
                <c:pt idx="455">
                  <c:v>-59.739035018150702</c:v>
                </c:pt>
                <c:pt idx="456">
                  <c:v>-61.021499644939972</c:v>
                </c:pt>
                <c:pt idx="457">
                  <c:v>-62.298937452757635</c:v>
                </c:pt>
                <c:pt idx="458">
                  <c:v>-63.571290827388431</c:v>
                </c:pt>
                <c:pt idx="459">
                  <c:v>-64.83851450540719</c:v>
                </c:pt>
                <c:pt idx="460">
                  <c:v>-66.100574888597265</c:v>
                </c:pt>
                <c:pt idx="461">
                  <c:v>-67.357449315446132</c:v>
                </c:pt>
                <c:pt idx="462">
                  <c:v>-68.609125293374717</c:v>
                </c:pt>
                <c:pt idx="463">
                  <c:v>-69.855599695513177</c:v>
                </c:pt>
                <c:pt idx="464">
                  <c:v>-71.096877925995614</c:v>
                </c:pt>
                <c:pt idx="465">
                  <c:v>-72.332973057852541</c:v>
                </c:pt>
                <c:pt idx="466">
                  <c:v>-73.563904947701261</c:v>
                </c:pt>
                <c:pt idx="467">
                  <c:v>-74.789699331501652</c:v>
                </c:pt>
                <c:pt idx="468">
                  <c:v>-76.010386905722143</c:v>
                </c:pt>
                <c:pt idx="469">
                  <c:v>-77.226002398307614</c:v>
                </c:pt>
                <c:pt idx="470">
                  <c:v>-78.43658363388441</c:v>
                </c:pt>
                <c:pt idx="471">
                  <c:v>-79.642170597656275</c:v>
                </c:pt>
                <c:pt idx="472">
                  <c:v>-80.842804502461334</c:v>
                </c:pt>
                <c:pt idx="473">
                  <c:v>-82.038526863472839</c:v>
                </c:pt>
                <c:pt idx="474">
                  <c:v>-83.22937858500282</c:v>
                </c:pt>
                <c:pt idx="475">
                  <c:v>-84.415399063864314</c:v>
                </c:pt>
                <c:pt idx="476">
                  <c:v>-85.596625313711215</c:v>
                </c:pt>
                <c:pt idx="477">
                  <c:v>-86.773091114735251</c:v>
                </c:pt>
                <c:pt idx="478">
                  <c:v>-87.944826193042658</c:v>
                </c:pt>
                <c:pt idx="479">
                  <c:v>-89.111855433963299</c:v>
                </c:pt>
                <c:pt idx="480">
                  <c:v>-90.27419813346178</c:v>
                </c:pt>
                <c:pt idx="481">
                  <c:v>-91.431867291696136</c:v>
                </c:pt>
                <c:pt idx="482">
                  <c:v>-92.584868952663982</c:v>
                </c:pt>
                <c:pt idx="483">
                  <c:v>-93.733201593695512</c:v>
                </c:pt>
                <c:pt idx="484">
                  <c:v>-94.876855568392472</c:v>
                </c:pt>
                <c:pt idx="485">
                  <c:v>-96.01581260638703</c:v>
                </c:pt>
                <c:pt idx="486">
                  <c:v>-97.150045373061673</c:v>
                </c:pt>
                <c:pt idx="487">
                  <c:v>-98.279517092093727</c:v>
                </c:pt>
                <c:pt idx="488">
                  <c:v>-99.404181233373905</c:v>
                </c:pt>
                <c:pt idx="489">
                  <c:v>-100.52398126852043</c:v>
                </c:pt>
                <c:pt idx="490">
                  <c:v>-101.63885049581356</c:v>
                </c:pt>
                <c:pt idx="491">
                  <c:v>-102.74871193598042</c:v>
                </c:pt>
                <c:pt idx="492">
                  <c:v>-103.85347829980908</c:v>
                </c:pt>
                <c:pt idx="493">
                  <c:v>-104.9530520280979</c:v>
                </c:pt>
                <c:pt idx="494">
                  <c:v>-106.04732540395226</c:v>
                </c:pt>
                <c:pt idx="495">
                  <c:v>-107.13618073691576</c:v>
                </c:pt>
                <c:pt idx="496">
                  <c:v>-108.21949061788777</c:v>
                </c:pt>
                <c:pt idx="497">
                  <c:v>-109.29711824323</c:v>
                </c:pt>
                <c:pt idx="498">
                  <c:v>-110.36891780591174</c:v>
                </c:pt>
                <c:pt idx="499">
                  <c:v>-111.43473495099479</c:v>
                </c:pt>
                <c:pt idx="500">
                  <c:v>-112.49440729221762</c:v>
                </c:pt>
                <c:pt idx="501">
                  <c:v>-113.54776498591701</c:v>
                </c:pt>
                <c:pt idx="502">
                  <c:v>-114.59463135803358</c:v>
                </c:pt>
                <c:pt idx="503">
                  <c:v>-115.63482357948092</c:v>
                </c:pt>
                <c:pt idx="504">
                  <c:v>-116.66815338474424</c:v>
                </c:pt>
                <c:pt idx="505">
                  <c:v>-117.69442782820354</c:v>
                </c:pt>
                <c:pt idx="506">
                  <c:v>-118.71345007235945</c:v>
                </c:pt>
                <c:pt idx="507">
                  <c:v>-119.72502020188632</c:v>
                </c:pt>
                <c:pt idx="508">
                  <c:v>-120.72893605726013</c:v>
                </c:pt>
                <c:pt idx="509">
                  <c:v>-121.724994081573</c:v>
                </c:pt>
                <c:pt idx="510">
                  <c:v>-122.71299017411533</c:v>
                </c:pt>
                <c:pt idx="511">
                  <c:v>-123.69272054432732</c:v>
                </c:pt>
                <c:pt idx="512">
                  <c:v>-124.66398255981451</c:v>
                </c:pt>
                <c:pt idx="513">
                  <c:v>-125.62657558230678</c:v>
                </c:pt>
                <c:pt idx="514">
                  <c:v>-126.58030178564948</c:v>
                </c:pt>
                <c:pt idx="515">
                  <c:v>-127.52496695024516</c:v>
                </c:pt>
                <c:pt idx="516">
                  <c:v>-128.46038122869354</c:v>
                </c:pt>
                <c:pt idx="517">
                  <c:v>-129.38635987780316</c:v>
                </c:pt>
                <c:pt idx="518">
                  <c:v>-130.30272395258353</c:v>
                </c:pt>
                <c:pt idx="519">
                  <c:v>-131.20930095833802</c:v>
                </c:pt>
                <c:pt idx="520">
                  <c:v>-132.10592545745234</c:v>
                </c:pt>
                <c:pt idx="521">
                  <c:v>-132.99243962805494</c:v>
                </c:pt>
                <c:pt idx="522">
                  <c:v>-133.86869377223223</c:v>
                </c:pt>
                <c:pt idx="523">
                  <c:v>-134.73454677205081</c:v>
                </c:pt>
                <c:pt idx="524">
                  <c:v>-135.58986649217638</c:v>
                </c:pt>
                <c:pt idx="525">
                  <c:v>-136.43453012840257</c:v>
                </c:pt>
                <c:pt idx="526">
                  <c:v>-137.2684245019145</c:v>
                </c:pt>
                <c:pt idx="527">
                  <c:v>-138.09144629961264</c:v>
                </c:pt>
                <c:pt idx="528">
                  <c:v>-138.90350226124227</c:v>
                </c:pt>
                <c:pt idx="529">
                  <c:v>-139.70450931453172</c:v>
                </c:pt>
                <c:pt idx="530">
                  <c:v>-140.49439465988215</c:v>
                </c:pt>
                <c:pt idx="531">
                  <c:v>-141.27309580652266</c:v>
                </c:pt>
                <c:pt idx="532">
                  <c:v>-142.04056056232048</c:v>
                </c:pt>
                <c:pt idx="533">
                  <c:v>-142.79674697969071</c:v>
                </c:pt>
                <c:pt idx="534">
                  <c:v>-143.5416232602615</c:v>
                </c:pt>
                <c:pt idx="535">
                  <c:v>-144.27516762110858</c:v>
                </c:pt>
                <c:pt idx="536">
                  <c:v>-144.99736812550154</c:v>
                </c:pt>
                <c:pt idx="537">
                  <c:v>-145.70822248118461</c:v>
                </c:pt>
                <c:pt idx="538">
                  <c:v>-146.40773780925642</c:v>
                </c:pt>
                <c:pt idx="539">
                  <c:v>-147.09593038672978</c:v>
                </c:pt>
                <c:pt idx="540">
                  <c:v>-147.77282536582598</c:v>
                </c:pt>
                <c:pt idx="541">
                  <c:v>-148.43845647301271</c:v>
                </c:pt>
              </c:numCache>
            </c:numRef>
          </c:yVal>
          <c:smooth val="1"/>
          <c:extLst>
            <c:ext xmlns:c16="http://schemas.microsoft.com/office/drawing/2014/chart" uri="{C3380CC4-5D6E-409C-BE32-E72D297353CC}">
              <c16:uniqueId val="{0000000B-2470-421C-8EF3-DF4BAC2DF802}"/>
            </c:ext>
          </c:extLst>
        </c:ser>
        <c:dLbls>
          <c:showLegendKey val="0"/>
          <c:showVal val="0"/>
          <c:showCatName val="0"/>
          <c:showSerName val="0"/>
          <c:showPercent val="0"/>
          <c:showBubbleSize val="0"/>
        </c:dLbls>
        <c:axId val="144838016"/>
        <c:axId val="144836096"/>
      </c:scatterChart>
      <c:valAx>
        <c:axId val="144369152"/>
        <c:scaling>
          <c:logBase val="10"/>
          <c:orientation val="minMax"/>
          <c:max val="2000000"/>
          <c:min val="1"/>
        </c:scaling>
        <c:delete val="0"/>
        <c:axPos val="b"/>
        <c:majorGridlines/>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txPr>
          <a:bodyPr/>
          <a:lstStyle/>
          <a:p>
            <a:pPr>
              <a:defRPr b="1"/>
            </a:pPr>
            <a:endParaRPr lang="en-US"/>
          </a:p>
        </c:txPr>
        <c:crossAx val="144371072"/>
        <c:crosses val="autoZero"/>
        <c:crossBetween val="midCat"/>
      </c:valAx>
      <c:valAx>
        <c:axId val="144371072"/>
        <c:scaling>
          <c:orientation val="minMax"/>
          <c:max val="60"/>
          <c:min val="-6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b="1">
                <a:solidFill>
                  <a:srgbClr val="FF0000"/>
                </a:solidFill>
              </a:defRPr>
            </a:pPr>
            <a:endParaRPr lang="en-US"/>
          </a:p>
        </c:txPr>
        <c:crossAx val="144369152"/>
        <c:crosses val="autoZero"/>
        <c:crossBetween val="midCat"/>
        <c:majorUnit val="20"/>
        <c:minorUnit val="10"/>
      </c:valAx>
      <c:valAx>
        <c:axId val="144836096"/>
        <c:scaling>
          <c:orientation val="minMax"/>
          <c:max val="180"/>
          <c:min val="-180"/>
        </c:scaling>
        <c:delete val="0"/>
        <c:axPos val="r"/>
        <c:title>
          <c:tx>
            <c:rich>
              <a:bodyPr rot="-5400000" vert="horz"/>
              <a:lstStyle/>
              <a:p>
                <a:pPr>
                  <a:defRPr/>
                </a:pPr>
                <a:r>
                  <a:rPr lang="en-US"/>
                  <a:t>Phase (deg)</a:t>
                </a:r>
              </a:p>
            </c:rich>
          </c:tx>
          <c:overlay val="0"/>
        </c:title>
        <c:numFmt formatCode="General" sourceLinked="1"/>
        <c:majorTickMark val="out"/>
        <c:minorTickMark val="none"/>
        <c:tickLblPos val="nextTo"/>
        <c:txPr>
          <a:bodyPr/>
          <a:lstStyle/>
          <a:p>
            <a:pPr>
              <a:defRPr b="1">
                <a:solidFill>
                  <a:schemeClr val="tx1">
                    <a:lumMod val="95000"/>
                    <a:lumOff val="5000"/>
                  </a:schemeClr>
                </a:solidFill>
              </a:defRPr>
            </a:pPr>
            <a:endParaRPr lang="en-US"/>
          </a:p>
        </c:txPr>
        <c:crossAx val="144838016"/>
        <c:crosses val="max"/>
        <c:crossBetween val="midCat"/>
        <c:majorUnit val="90"/>
        <c:minorUnit val="45"/>
      </c:valAx>
      <c:valAx>
        <c:axId val="144838016"/>
        <c:scaling>
          <c:logBase val="10"/>
          <c:orientation val="minMax"/>
        </c:scaling>
        <c:delete val="1"/>
        <c:axPos val="b"/>
        <c:numFmt formatCode="0.00" sourceLinked="1"/>
        <c:majorTickMark val="out"/>
        <c:minorTickMark val="none"/>
        <c:tickLblPos val="nextTo"/>
        <c:crossAx val="144836096"/>
        <c:crosses val="autoZero"/>
        <c:crossBetween val="midCat"/>
      </c:valAx>
    </c:plotArea>
    <c:legend>
      <c:legendPos val="r"/>
      <c:legendEntry>
        <c:idx val="1"/>
        <c:delete val="1"/>
      </c:legendEntry>
      <c:legendEntry>
        <c:idx val="2"/>
        <c:delete val="1"/>
      </c:legendEntry>
      <c:legendEntry>
        <c:idx val="3"/>
        <c:delete val="1"/>
      </c:legendEntry>
      <c:legendEntry>
        <c:idx val="4"/>
        <c:delete val="1"/>
      </c:legendEntry>
      <c:legendEntry>
        <c:idx val="5"/>
        <c:delete val="1"/>
      </c:legendEntry>
      <c:layout>
        <c:manualLayout>
          <c:xMode val="edge"/>
          <c:yMode val="edge"/>
          <c:x val="0.61392536510371165"/>
          <c:y val="7.0381012799940294E-3"/>
          <c:w val="0.28497500584606611"/>
          <c:h val="7.9643865606846526E-2"/>
        </c:manualLayout>
      </c:layout>
      <c:overlay val="1"/>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2400"/>
            </a:pPr>
            <a:r>
              <a:rPr lang="el-GR" sz="2400"/>
              <a:t>η</a:t>
            </a:r>
            <a:endParaRPr lang="en-US" sz="2400"/>
          </a:p>
        </c:rich>
      </c:tx>
      <c:layout>
        <c:manualLayout>
          <c:xMode val="edge"/>
          <c:yMode val="edge"/>
          <c:x val="9.2321838295158831E-2"/>
          <c:y val="6.7069081153588199E-3"/>
        </c:manualLayout>
      </c:layout>
      <c:overlay val="1"/>
    </c:title>
    <c:autoTitleDeleted val="0"/>
    <c:plotArea>
      <c:layout>
        <c:manualLayout>
          <c:layoutTarget val="inner"/>
          <c:xMode val="edge"/>
          <c:yMode val="edge"/>
          <c:x val="9.4343575816580413E-2"/>
          <c:y val="0.12777504924560487"/>
          <c:w val="0.82170691922728745"/>
          <c:h val="0.74982770867653059"/>
        </c:manualLayout>
      </c:layout>
      <c:scatterChart>
        <c:scatterStyle val="smoothMarker"/>
        <c:varyColors val="0"/>
        <c:ser>
          <c:idx val="0"/>
          <c:order val="0"/>
          <c:tx>
            <c:v>Eff</c:v>
          </c:tx>
          <c:spPr>
            <a:ln>
              <a:solidFill>
                <a:srgbClr val="FF0000"/>
              </a:solidFill>
            </a:ln>
          </c:spPr>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Eff_vs_IOUT!$AT$7:$AT$157</c:f>
              <c:numCache>
                <c:formatCode>General</c:formatCode>
                <c:ptCount val="151"/>
                <c:pt idx="0">
                  <c:v>0</c:v>
                </c:pt>
                <c:pt idx="1">
                  <c:v>46.758318052445624</c:v>
                </c:pt>
                <c:pt idx="2">
                  <c:v>62.926234121429701</c:v>
                </c:pt>
                <c:pt idx="3">
                  <c:v>71.123422480481963</c:v>
                </c:pt>
                <c:pt idx="4">
                  <c:v>76.078358560374198</c:v>
                </c:pt>
                <c:pt idx="5">
                  <c:v>79.396921840599362</c:v>
                </c:pt>
                <c:pt idx="6">
                  <c:v>81.774765377402375</c:v>
                </c:pt>
                <c:pt idx="7">
                  <c:v>83.562176175261953</c:v>
                </c:pt>
                <c:pt idx="8">
                  <c:v>84.954736601946905</c:v>
                </c:pt>
                <c:pt idx="9">
                  <c:v>86.070238250511807</c:v>
                </c:pt>
                <c:pt idx="10">
                  <c:v>86.983859243082776</c:v>
                </c:pt>
                <c:pt idx="11">
                  <c:v>87.745836052529086</c:v>
                </c:pt>
                <c:pt idx="12">
                  <c:v>88.391014687793216</c:v>
                </c:pt>
                <c:pt idx="13">
                  <c:v>88.944325091872784</c:v>
                </c:pt>
                <c:pt idx="14">
                  <c:v>89.424074053041267</c:v>
                </c:pt>
                <c:pt idx="15">
                  <c:v>89.844007644797927</c:v>
                </c:pt>
                <c:pt idx="16">
                  <c:v>90.214648168683837</c:v>
                </c:pt>
                <c:pt idx="17">
                  <c:v>90.544186849150449</c:v>
                </c:pt>
                <c:pt idx="18">
                  <c:v>90.839095462728352</c:v>
                </c:pt>
                <c:pt idx="19">
                  <c:v>91.104554996009895</c:v>
                </c:pt>
                <c:pt idx="20">
                  <c:v>91.34476215853141</c:v>
                </c:pt>
                <c:pt idx="21">
                  <c:v>91.563152515046113</c:v>
                </c:pt>
                <c:pt idx="22">
                  <c:v>91.762565551582028</c:v>
                </c:pt>
                <c:pt idx="23">
                  <c:v>91.945368571450189</c:v>
                </c:pt>
                <c:pt idx="24">
                  <c:v>92.113550922828082</c:v>
                </c:pt>
                <c:pt idx="25">
                  <c:v>92.268796528275615</c:v>
                </c:pt>
                <c:pt idx="26">
                  <c:v>92.412540329892792</c:v>
                </c:pt>
                <c:pt idx="27">
                  <c:v>92.546012663143856</c:v>
                </c:pt>
                <c:pt idx="28">
                  <c:v>92.670274467483338</c:v>
                </c:pt>
                <c:pt idx="29">
                  <c:v>92.748184225838543</c:v>
                </c:pt>
                <c:pt idx="30">
                  <c:v>92.855704580626494</c:v>
                </c:pt>
                <c:pt idx="31">
                  <c:v>92.956404522391765</c:v>
                </c:pt>
                <c:pt idx="32">
                  <c:v>93.050902945592497</c:v>
                </c:pt>
                <c:pt idx="33">
                  <c:v>93.139746064575206</c:v>
                </c:pt>
                <c:pt idx="34">
                  <c:v>93.22341777829989</c:v>
                </c:pt>
                <c:pt idx="35">
                  <c:v>93.302348310546563</c:v>
                </c:pt>
                <c:pt idx="36">
                  <c:v>93.376921451324023</c:v>
                </c:pt>
                <c:pt idx="37">
                  <c:v>93.447480656739188</c:v>
                </c:pt>
                <c:pt idx="38">
                  <c:v>93.514334211897548</c:v>
                </c:pt>
                <c:pt idx="39">
                  <c:v>93.577759620552939</c:v>
                </c:pt>
                <c:pt idx="40">
                  <c:v>93.638007353328476</c:v>
                </c:pt>
                <c:pt idx="41">
                  <c:v>93.69530406125746</c:v>
                </c:pt>
                <c:pt idx="42">
                  <c:v>93.749855341561357</c:v>
                </c:pt>
                <c:pt idx="43">
                  <c:v>93.801848126800863</c:v>
                </c:pt>
                <c:pt idx="44">
                  <c:v>93.851452755906621</c:v>
                </c:pt>
                <c:pt idx="45">
                  <c:v>93.898824775435017</c:v>
                </c:pt>
                <c:pt idx="46">
                  <c:v>93.944106511175747</c:v>
                </c:pt>
                <c:pt idx="47">
                  <c:v>93.98742844355904</c:v>
                </c:pt>
                <c:pt idx="48">
                  <c:v>94.028910414855957</c:v>
                </c:pt>
                <c:pt idx="49">
                  <c:v>94.068662691692097</c:v>
                </c:pt>
                <c:pt idx="50">
                  <c:v>94.10678690270953</c:v>
                </c:pt>
                <c:pt idx="51">
                  <c:v>94.143376868164538</c:v>
                </c:pt>
                <c:pt idx="52">
                  <c:v>94.178519335717013</c:v>
                </c:pt>
                <c:pt idx="53">
                  <c:v>94.21229463455802</c:v>
                </c:pt>
                <c:pt idx="54">
                  <c:v>94.244777258257699</c:v>
                </c:pt>
                <c:pt idx="55">
                  <c:v>94.276036385233155</c:v>
                </c:pt>
                <c:pt idx="56">
                  <c:v>94.306136344489246</c:v>
                </c:pt>
                <c:pt idx="57">
                  <c:v>94.335137033230154</c:v>
                </c:pt>
                <c:pt idx="58">
                  <c:v>94.363094292045929</c:v>
                </c:pt>
                <c:pt idx="59">
                  <c:v>94.390060242618887</c:v>
                </c:pt>
                <c:pt idx="60">
                  <c:v>94.416083592245968</c:v>
                </c:pt>
                <c:pt idx="61">
                  <c:v>94.441209908920669</c:v>
                </c:pt>
                <c:pt idx="62">
                  <c:v>94.465481870241916</c:v>
                </c:pt>
                <c:pt idx="63">
                  <c:v>94.488939489010122</c:v>
                </c:pt>
                <c:pt idx="64">
                  <c:v>94.511620318018615</c:v>
                </c:pt>
                <c:pt idx="65">
                  <c:v>94.533559636244945</c:v>
                </c:pt>
                <c:pt idx="66">
                  <c:v>94.554790618383507</c:v>
                </c:pt>
                <c:pt idx="67">
                  <c:v>94.575344489432993</c:v>
                </c:pt>
                <c:pt idx="68">
                  <c:v>94.595250665853271</c:v>
                </c:pt>
                <c:pt idx="69">
                  <c:v>94.614536884633765</c:v>
                </c:pt>
                <c:pt idx="70">
                  <c:v>94.633229321464</c:v>
                </c:pt>
                <c:pt idx="71">
                  <c:v>94.651352699065015</c:v>
                </c:pt>
                <c:pt idx="72">
                  <c:v>94.668930386624268</c:v>
                </c:pt>
                <c:pt idx="73">
                  <c:v>94.685984491174963</c:v>
                </c:pt>
                <c:pt idx="74">
                  <c:v>94.702535941670888</c:v>
                </c:pt>
                <c:pt idx="75">
                  <c:v>94.718604566429306</c:v>
                </c:pt>
                <c:pt idx="76">
                  <c:v>94.734209164543941</c:v>
                </c:pt>
                <c:pt idx="77">
                  <c:v>94.74936757180906</c:v>
                </c:pt>
                <c:pt idx="78">
                  <c:v>94.764096721640584</c:v>
                </c:pt>
                <c:pt idx="79">
                  <c:v>94.778412701431463</c:v>
                </c:pt>
                <c:pt idx="80">
                  <c:v>94.792330804735997</c:v>
                </c:pt>
                <c:pt idx="81">
                  <c:v>94.805865579638308</c:v>
                </c:pt>
                <c:pt idx="82">
                  <c:v>94.81903087362717</c:v>
                </c:pt>
                <c:pt idx="83">
                  <c:v>94.831839875267647</c:v>
                </c:pt>
                <c:pt idx="84">
                  <c:v>94.844305152933401</c:v>
                </c:pt>
                <c:pt idx="85">
                  <c:v>94.856438690838729</c:v>
                </c:pt>
                <c:pt idx="86">
                  <c:v>94.868251922587149</c:v>
                </c:pt>
                <c:pt idx="87">
                  <c:v>94.879755762434471</c:v>
                </c:pt>
                <c:pt idx="88">
                  <c:v>94.890960634445534</c:v>
                </c:pt>
                <c:pt idx="89">
                  <c:v>94.901876499708436</c:v>
                </c:pt>
                <c:pt idx="90">
                  <c:v>94.912512881755802</c:v>
                </c:pt>
                <c:pt idx="91">
                  <c:v>94.922878890329031</c:v>
                </c:pt>
                <c:pt idx="92">
                  <c:v>94.932983243610607</c:v>
                </c:pt>
                <c:pt idx="93">
                  <c:v>94.942834289037975</c:v>
                </c:pt>
                <c:pt idx="94">
                  <c:v>94.952440022804012</c:v>
                </c:pt>
                <c:pt idx="95">
                  <c:v>94.961808108139294</c:v>
                </c:pt>
                <c:pt idx="96">
                  <c:v>94.970945892464243</c:v>
                </c:pt>
                <c:pt idx="97">
                  <c:v>94.9798604234918</c:v>
                </c:pt>
                <c:pt idx="98">
                  <c:v>94.988558464354838</c:v>
                </c:pt>
                <c:pt idx="99">
                  <c:v>94.997046507826482</c:v>
                </c:pt>
                <c:pt idx="100">
                  <c:v>95.005330789696046</c:v>
                </c:pt>
                <c:pt idx="101">
                  <c:v>95.013417301358842</c:v>
                </c:pt>
                <c:pt idx="102">
                  <c:v>95.021311801672809</c:v>
                </c:pt>
                <c:pt idx="103">
                  <c:v>95.029019828131567</c:v>
                </c:pt>
                <c:pt idx="104">
                  <c:v>95.036546707399651</c:v>
                </c:pt>
                <c:pt idx="105">
                  <c:v>95.043897565251243</c:v>
                </c:pt>
                <c:pt idx="106">
                  <c:v>95.051077335952428</c:v>
                </c:pt>
                <c:pt idx="107">
                  <c:v>95.058090771122153</c:v>
                </c:pt>
                <c:pt idx="108">
                  <c:v>95.064942448105882</c:v>
                </c:pt>
                <c:pt idx="109">
                  <c:v>95.071636777892678</c:v>
                </c:pt>
                <c:pt idx="110">
                  <c:v>95.078178012604624</c:v>
                </c:pt>
                <c:pt idx="111">
                  <c:v>95.084570252585237</c:v>
                </c:pt>
                <c:pt idx="112">
                  <c:v>95.09081745311164</c:v>
                </c:pt>
                <c:pt idx="113">
                  <c:v>95.096923430753691</c:v>
                </c:pt>
                <c:pt idx="114">
                  <c:v>95.102891869401645</c:v>
                </c:pt>
                <c:pt idx="115">
                  <c:v>95.108726325981948</c:v>
                </c:pt>
                <c:pt idx="116">
                  <c:v>95.114430235880263</c:v>
                </c:pt>
                <c:pt idx="117">
                  <c:v>95.120006918088833</c:v>
                </c:pt>
                <c:pt idx="118">
                  <c:v>95.125459580094414</c:v>
                </c:pt>
                <c:pt idx="119">
                  <c:v>95.130791322521986</c:v>
                </c:pt>
                <c:pt idx="120">
                  <c:v>95.136005143548303</c:v>
                </c:pt>
                <c:pt idx="121">
                  <c:v>95.141103943098415</c:v>
                </c:pt>
                <c:pt idx="122">
                  <c:v>95.146090526837796</c:v>
                </c:pt>
                <c:pt idx="123">
                  <c:v>95.150967609971104</c:v>
                </c:pt>
                <c:pt idx="124">
                  <c:v>95.155737820858903</c:v>
                </c:pt>
                <c:pt idx="125">
                  <c:v>95.160403704462169</c:v>
                </c:pt>
                <c:pt idx="126">
                  <c:v>95.164967725624237</c:v>
                </c:pt>
                <c:pt idx="127">
                  <c:v>95.169432272198733</c:v>
                </c:pt>
                <c:pt idx="128">
                  <c:v>95.173799658032422</c:v>
                </c:pt>
                <c:pt idx="129">
                  <c:v>95.178072125810161</c:v>
                </c:pt>
                <c:pt idx="130">
                  <c:v>95.182251849769813</c:v>
                </c:pt>
                <c:pt idx="131">
                  <c:v>95.186340938293696</c:v>
                </c:pt>
                <c:pt idx="132">
                  <c:v>95.190341436383207</c:v>
                </c:pt>
                <c:pt idx="133">
                  <c:v>95.194255328022763</c:v>
                </c:pt>
                <c:pt idx="134">
                  <c:v>95.198084538438536</c:v>
                </c:pt>
                <c:pt idx="135">
                  <c:v>95.201830936257878</c:v>
                </c:pt>
                <c:pt idx="136">
                  <c:v>95.205496335573898</c:v>
                </c:pt>
                <c:pt idx="137">
                  <c:v>95.209082497920534</c:v>
                </c:pt>
                <c:pt idx="138">
                  <c:v>95.212591134162366</c:v>
                </c:pt>
                <c:pt idx="139">
                  <c:v>95.216023906303334</c:v>
                </c:pt>
                <c:pt idx="140">
                  <c:v>95.219382429218811</c:v>
                </c:pt>
                <c:pt idx="141">
                  <c:v>95.222668272314138</c:v>
                </c:pt>
                <c:pt idx="142">
                  <c:v>95.225882961113953</c:v>
                </c:pt>
                <c:pt idx="143">
                  <c:v>95.229027978785126</c:v>
                </c:pt>
                <c:pt idx="144">
                  <c:v>95.232104767596738</c:v>
                </c:pt>
                <c:pt idx="145">
                  <c:v>95.235114730320149</c:v>
                </c:pt>
                <c:pt idx="146">
                  <c:v>95.238059231571853</c:v>
                </c:pt>
                <c:pt idx="147">
                  <c:v>95.240939599101964</c:v>
                </c:pt>
                <c:pt idx="148">
                  <c:v>95.243757125030896</c:v>
                </c:pt>
                <c:pt idx="149">
                  <c:v>95.24651306703646</c:v>
                </c:pt>
                <c:pt idx="150">
                  <c:v>95.249208649493909</c:v>
                </c:pt>
              </c:numCache>
            </c:numRef>
          </c:yVal>
          <c:smooth val="0"/>
          <c:extLst>
            <c:ext xmlns:c16="http://schemas.microsoft.com/office/drawing/2014/chart" uri="{C3380CC4-5D6E-409C-BE32-E72D297353CC}">
              <c16:uniqueId val="{00000000-EBB2-49C9-A014-1F538461E4EA}"/>
            </c:ext>
          </c:extLst>
        </c:ser>
        <c:dLbls>
          <c:showLegendKey val="0"/>
          <c:showVal val="0"/>
          <c:showCatName val="0"/>
          <c:showSerName val="0"/>
          <c:showPercent val="0"/>
          <c:showBubbleSize val="0"/>
        </c:dLbls>
        <c:axId val="144893056"/>
        <c:axId val="144894592"/>
      </c:scatterChart>
      <c:scatterChart>
        <c:scatterStyle val="smoothMarker"/>
        <c:varyColors val="0"/>
        <c:ser>
          <c:idx val="1"/>
          <c:order val="1"/>
          <c:tx>
            <c:v>MOSFET</c:v>
          </c:tx>
          <c:spPr>
            <a:ln>
              <a:solidFill>
                <a:schemeClr val="tx2">
                  <a:lumMod val="75000"/>
                </a:schemeClr>
              </a:solidFill>
              <a:prstDash val="dashDot"/>
            </a:ln>
          </c:spPr>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Eff_vs_IOUT!$AI$7:$AI$157</c:f>
              <c:numCache>
                <c:formatCode>General</c:formatCode>
                <c:ptCount val="151"/>
                <c:pt idx="0">
                  <c:v>0</c:v>
                </c:pt>
                <c:pt idx="1">
                  <c:v>8.0984311314242444E-3</c:v>
                </c:pt>
                <c:pt idx="2">
                  <c:v>1.6198362205074712E-2</c:v>
                </c:pt>
                <c:pt idx="3">
                  <c:v>2.4299269726837953E-2</c:v>
                </c:pt>
                <c:pt idx="4">
                  <c:v>3.2400966887427621E-2</c:v>
                </c:pt>
                <c:pt idx="5">
                  <c:v>4.0503345721392116E-2</c:v>
                </c:pt>
                <c:pt idx="6">
                  <c:v>4.8606333382108603E-2</c:v>
                </c:pt>
                <c:pt idx="7">
                  <c:v>5.6709876391018176E-2</c:v>
                </c:pt>
                <c:pt idx="8">
                  <c:v>6.4813933312665009E-2</c:v>
                </c:pt>
                <c:pt idx="9">
                  <c:v>7.2918470810606081E-2</c:v>
                </c:pt>
                <c:pt idx="10">
                  <c:v>8.1023461306685002E-2</c:v>
                </c:pt>
                <c:pt idx="11">
                  <c:v>8.9128881491162978E-2</c:v>
                </c:pt>
                <c:pt idx="12">
                  <c:v>9.723471132280459E-2</c:v>
                </c:pt>
                <c:pt idx="13">
                  <c:v>0.10534093332926026</c:v>
                </c:pt>
                <c:pt idx="14">
                  <c:v>0.11344753210081716</c:v>
                </c:pt>
                <c:pt idx="15">
                  <c:v>0.12155449391376118</c:v>
                </c:pt>
                <c:pt idx="16">
                  <c:v>0.1296618064435556</c:v>
                </c:pt>
                <c:pt idx="17">
                  <c:v>0.13776945854203296</c:v>
                </c:pt>
                <c:pt idx="18">
                  <c:v>0.14587744006132014</c:v>
                </c:pt>
                <c:pt idx="19">
                  <c:v>0.15398574171259816</c:v>
                </c:pt>
                <c:pt idx="20">
                  <c:v>0.16209435495130523</c:v>
                </c:pt>
                <c:pt idx="21">
                  <c:v>0.17020327188273807</c:v>
                </c:pt>
                <c:pt idx="22">
                  <c:v>0.17831248518361342</c:v>
                </c:pt>
                <c:pt idx="23">
                  <c:v>0.18642198803627991</c:v>
                </c:pt>
                <c:pt idx="24">
                  <c:v>0.19453177407307076</c:v>
                </c:pt>
                <c:pt idx="25">
                  <c:v>0.20264183732887214</c:v>
                </c:pt>
                <c:pt idx="26">
                  <c:v>0.21075217220040987</c:v>
                </c:pt>
                <c:pt idx="27">
                  <c:v>0.21886277341107907</c:v>
                </c:pt>
                <c:pt idx="28">
                  <c:v>0.22697363598038098</c:v>
                </c:pt>
                <c:pt idx="29">
                  <c:v>0.23513524410698075</c:v>
                </c:pt>
                <c:pt idx="30">
                  <c:v>0.24325047918843865</c:v>
                </c:pt>
                <c:pt idx="31">
                  <c:v>0.25136634527126844</c:v>
                </c:pt>
                <c:pt idx="32">
                  <c:v>0.25948284235546987</c:v>
                </c:pt>
                <c:pt idx="33">
                  <c:v>0.26759997044104306</c:v>
                </c:pt>
                <c:pt idx="34">
                  <c:v>0.27571772952798801</c:v>
                </c:pt>
                <c:pt idx="35">
                  <c:v>0.28383611961630467</c:v>
                </c:pt>
                <c:pt idx="36">
                  <c:v>0.2919551407059931</c:v>
                </c:pt>
                <c:pt idx="37">
                  <c:v>0.30007479279705329</c:v>
                </c:pt>
                <c:pt idx="38">
                  <c:v>0.30819507588948525</c:v>
                </c:pt>
                <c:pt idx="39">
                  <c:v>0.31631598998328886</c:v>
                </c:pt>
                <c:pt idx="40">
                  <c:v>0.32443753507846423</c:v>
                </c:pt>
                <c:pt idx="41">
                  <c:v>0.33255971117501137</c:v>
                </c:pt>
                <c:pt idx="42">
                  <c:v>0.34068251827293033</c:v>
                </c:pt>
                <c:pt idx="43">
                  <c:v>0.34880595637222089</c:v>
                </c:pt>
                <c:pt idx="44">
                  <c:v>0.35693002547288333</c:v>
                </c:pt>
                <c:pt idx="45">
                  <c:v>0.36505472557491747</c:v>
                </c:pt>
                <c:pt idx="46">
                  <c:v>0.37318005667832327</c:v>
                </c:pt>
                <c:pt idx="47">
                  <c:v>0.38130601878310078</c:v>
                </c:pt>
                <c:pt idx="48">
                  <c:v>0.38943261188925021</c:v>
                </c:pt>
                <c:pt idx="49">
                  <c:v>0.39755983599677125</c:v>
                </c:pt>
                <c:pt idx="50">
                  <c:v>0.40568769110566416</c:v>
                </c:pt>
                <c:pt idx="51">
                  <c:v>0.41381617721592867</c:v>
                </c:pt>
                <c:pt idx="52">
                  <c:v>0.42194529432756489</c:v>
                </c:pt>
                <c:pt idx="53">
                  <c:v>0.43007504244057293</c:v>
                </c:pt>
                <c:pt idx="54">
                  <c:v>0.43820542155495279</c:v>
                </c:pt>
                <c:pt idx="55">
                  <c:v>0.44633643167070425</c:v>
                </c:pt>
                <c:pt idx="56">
                  <c:v>0.45446807278782758</c:v>
                </c:pt>
                <c:pt idx="57">
                  <c:v>0.46260034490632257</c:v>
                </c:pt>
                <c:pt idx="58">
                  <c:v>0.47073324802618943</c:v>
                </c:pt>
                <c:pt idx="59">
                  <c:v>0.47886678214742784</c:v>
                </c:pt>
                <c:pt idx="60">
                  <c:v>0.48700094727003801</c:v>
                </c:pt>
                <c:pt idx="61">
                  <c:v>0.49513574339402011</c:v>
                </c:pt>
                <c:pt idx="62">
                  <c:v>0.50327117051937387</c:v>
                </c:pt>
                <c:pt idx="63">
                  <c:v>0.51140722864609922</c:v>
                </c:pt>
                <c:pt idx="64">
                  <c:v>0.51954391777419651</c:v>
                </c:pt>
                <c:pt idx="65">
                  <c:v>0.5276812379036655</c:v>
                </c:pt>
                <c:pt idx="66">
                  <c:v>0.53581918903450609</c:v>
                </c:pt>
                <c:pt idx="67">
                  <c:v>0.54395777116671862</c:v>
                </c:pt>
                <c:pt idx="68">
                  <c:v>0.55209698430030274</c:v>
                </c:pt>
                <c:pt idx="69">
                  <c:v>0.56023682843525868</c:v>
                </c:pt>
                <c:pt idx="70">
                  <c:v>0.56837730357158633</c:v>
                </c:pt>
                <c:pt idx="71">
                  <c:v>0.5765184097092857</c:v>
                </c:pt>
                <c:pt idx="72">
                  <c:v>0.58466014684835688</c:v>
                </c:pt>
                <c:pt idx="73">
                  <c:v>0.59280251498879988</c:v>
                </c:pt>
                <c:pt idx="74">
                  <c:v>0.60094551413061437</c:v>
                </c:pt>
                <c:pt idx="75">
                  <c:v>0.60908914427380068</c:v>
                </c:pt>
                <c:pt idx="76">
                  <c:v>0.61723340541835892</c:v>
                </c:pt>
                <c:pt idx="77">
                  <c:v>0.62537829756428864</c:v>
                </c:pt>
                <c:pt idx="78">
                  <c:v>0.6335238207115903</c:v>
                </c:pt>
                <c:pt idx="79">
                  <c:v>0.64166997486026378</c:v>
                </c:pt>
                <c:pt idx="80">
                  <c:v>0.64981676001030875</c:v>
                </c:pt>
                <c:pt idx="81">
                  <c:v>0.65796417616172576</c:v>
                </c:pt>
                <c:pt idx="82">
                  <c:v>0.66611222331451414</c:v>
                </c:pt>
                <c:pt idx="83">
                  <c:v>0.67426090146867446</c:v>
                </c:pt>
                <c:pt idx="84">
                  <c:v>0.68241021062420659</c:v>
                </c:pt>
                <c:pt idx="85">
                  <c:v>0.69056015078111022</c:v>
                </c:pt>
                <c:pt idx="86">
                  <c:v>0.69871072193938577</c:v>
                </c:pt>
                <c:pt idx="87">
                  <c:v>0.70686192409903315</c:v>
                </c:pt>
                <c:pt idx="88">
                  <c:v>0.71501375726005223</c:v>
                </c:pt>
                <c:pt idx="89">
                  <c:v>0.72316622142244291</c:v>
                </c:pt>
                <c:pt idx="90">
                  <c:v>0.73131931658620553</c:v>
                </c:pt>
                <c:pt idx="91">
                  <c:v>0.73947304275133963</c:v>
                </c:pt>
                <c:pt idx="92">
                  <c:v>0.74762739991784566</c:v>
                </c:pt>
                <c:pt idx="93">
                  <c:v>0.7557823880857234</c:v>
                </c:pt>
                <c:pt idx="94">
                  <c:v>0.76393800725497274</c:v>
                </c:pt>
                <c:pt idx="95">
                  <c:v>0.77209425742559412</c:v>
                </c:pt>
                <c:pt idx="96">
                  <c:v>0.7802511385975871</c:v>
                </c:pt>
                <c:pt idx="97">
                  <c:v>0.78840865077095168</c:v>
                </c:pt>
                <c:pt idx="98">
                  <c:v>0.79656679394568819</c:v>
                </c:pt>
                <c:pt idx="99">
                  <c:v>0.80472556812179641</c:v>
                </c:pt>
                <c:pt idx="100">
                  <c:v>0.81288497329927645</c:v>
                </c:pt>
                <c:pt idx="101">
                  <c:v>0.82104500947812786</c:v>
                </c:pt>
                <c:pt idx="102">
                  <c:v>0.82920567665835143</c:v>
                </c:pt>
                <c:pt idx="103">
                  <c:v>0.83736697483994638</c:v>
                </c:pt>
                <c:pt idx="104">
                  <c:v>0.84552890402291325</c:v>
                </c:pt>
                <c:pt idx="105">
                  <c:v>0.85369146420725217</c:v>
                </c:pt>
                <c:pt idx="106">
                  <c:v>0.86185465539296235</c:v>
                </c:pt>
                <c:pt idx="107">
                  <c:v>0.87001847758004458</c:v>
                </c:pt>
                <c:pt idx="108">
                  <c:v>0.8781829307684984</c:v>
                </c:pt>
                <c:pt idx="109">
                  <c:v>0.88634801495832405</c:v>
                </c:pt>
                <c:pt idx="110">
                  <c:v>0.89451373014952129</c:v>
                </c:pt>
                <c:pt idx="111">
                  <c:v>0.90268007634209046</c:v>
                </c:pt>
                <c:pt idx="112">
                  <c:v>0.91084705353603124</c:v>
                </c:pt>
                <c:pt idx="113">
                  <c:v>0.91901466173134383</c:v>
                </c:pt>
                <c:pt idx="114">
                  <c:v>0.92718290092802813</c:v>
                </c:pt>
                <c:pt idx="115">
                  <c:v>0.93535177112608403</c:v>
                </c:pt>
                <c:pt idx="116">
                  <c:v>0.94352127232551219</c:v>
                </c:pt>
                <c:pt idx="117">
                  <c:v>0.95169140452631151</c:v>
                </c:pt>
                <c:pt idx="118">
                  <c:v>0.95986216772848287</c:v>
                </c:pt>
                <c:pt idx="119">
                  <c:v>0.96803356193202594</c:v>
                </c:pt>
                <c:pt idx="120">
                  <c:v>0.9762055871369405</c:v>
                </c:pt>
                <c:pt idx="121">
                  <c:v>0.98437824334322721</c:v>
                </c:pt>
                <c:pt idx="122">
                  <c:v>0.99255153055088552</c:v>
                </c:pt>
                <c:pt idx="123">
                  <c:v>1.0007254487599153</c:v>
                </c:pt>
                <c:pt idx="124">
                  <c:v>1.0088999979703173</c:v>
                </c:pt>
                <c:pt idx="125">
                  <c:v>1.0170751781820906</c:v>
                </c:pt>
                <c:pt idx="126">
                  <c:v>1.0252509893952357</c:v>
                </c:pt>
                <c:pt idx="127">
                  <c:v>1.0334274316097525</c:v>
                </c:pt>
                <c:pt idx="128">
                  <c:v>1.0416045048256415</c:v>
                </c:pt>
                <c:pt idx="129">
                  <c:v>1.0497822090429021</c:v>
                </c:pt>
                <c:pt idx="130">
                  <c:v>1.0579605442615343</c:v>
                </c:pt>
                <c:pt idx="131">
                  <c:v>1.0661395104815381</c:v>
                </c:pt>
                <c:pt idx="132">
                  <c:v>1.0743191077029137</c:v>
                </c:pt>
                <c:pt idx="133">
                  <c:v>1.0824993359256612</c:v>
                </c:pt>
                <c:pt idx="134">
                  <c:v>1.0906801951497804</c:v>
                </c:pt>
                <c:pt idx="135">
                  <c:v>1.0988616853752711</c:v>
                </c:pt>
                <c:pt idx="136">
                  <c:v>1.1070438066021338</c:v>
                </c:pt>
                <c:pt idx="137">
                  <c:v>1.1152265588303683</c:v>
                </c:pt>
                <c:pt idx="138">
                  <c:v>1.1234099420599744</c:v>
                </c:pt>
                <c:pt idx="139">
                  <c:v>1.1315939562909525</c:v>
                </c:pt>
                <c:pt idx="140">
                  <c:v>1.1397786015233018</c:v>
                </c:pt>
                <c:pt idx="141">
                  <c:v>1.1479638777570231</c:v>
                </c:pt>
                <c:pt idx="142">
                  <c:v>1.1561497849921163</c:v>
                </c:pt>
                <c:pt idx="143">
                  <c:v>1.1643363232285813</c:v>
                </c:pt>
                <c:pt idx="144">
                  <c:v>1.1725234924664176</c:v>
                </c:pt>
                <c:pt idx="145">
                  <c:v>1.180711292705626</c:v>
                </c:pt>
                <c:pt idx="146">
                  <c:v>1.1888997239462062</c:v>
                </c:pt>
                <c:pt idx="147">
                  <c:v>1.1970887861881578</c:v>
                </c:pt>
                <c:pt idx="148">
                  <c:v>1.2052784794314815</c:v>
                </c:pt>
                <c:pt idx="149">
                  <c:v>1.2134688036761767</c:v>
                </c:pt>
                <c:pt idx="150">
                  <c:v>1.2216597589222438</c:v>
                </c:pt>
              </c:numCache>
            </c:numRef>
          </c:yVal>
          <c:smooth val="1"/>
          <c:extLst>
            <c:ext xmlns:c16="http://schemas.microsoft.com/office/drawing/2014/chart" uri="{C3380CC4-5D6E-409C-BE32-E72D297353CC}">
              <c16:uniqueId val="{00000001-EBB2-49C9-A014-1F538461E4EA}"/>
            </c:ext>
          </c:extLst>
        </c:ser>
        <c:ser>
          <c:idx val="2"/>
          <c:order val="2"/>
          <c:tx>
            <c:v>Diode</c:v>
          </c:tx>
          <c:spPr>
            <a:ln>
              <a:solidFill>
                <a:schemeClr val="bg2">
                  <a:lumMod val="50000"/>
                </a:schemeClr>
              </a:solidFill>
              <a:prstDash val="sysDash"/>
            </a:ln>
          </c:spPr>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Eff_vs_IOUT!$AN$7:$AN$157</c:f>
              <c:numCache>
                <c:formatCode>General</c:formatCode>
                <c:ptCount val="151"/>
                <c:pt idx="0">
                  <c:v>0.22935</c:v>
                </c:pt>
                <c:pt idx="1">
                  <c:v>0.23708333333333334</c:v>
                </c:pt>
                <c:pt idx="2">
                  <c:v>0.24481666666666665</c:v>
                </c:pt>
                <c:pt idx="3">
                  <c:v>0.25255</c:v>
                </c:pt>
                <c:pt idx="4">
                  <c:v>0.26028333333333331</c:v>
                </c:pt>
                <c:pt idx="5">
                  <c:v>0.26801666666666668</c:v>
                </c:pt>
                <c:pt idx="6">
                  <c:v>0.27575</c:v>
                </c:pt>
                <c:pt idx="7">
                  <c:v>0.28348333333333331</c:v>
                </c:pt>
                <c:pt idx="8">
                  <c:v>0.29121666666666668</c:v>
                </c:pt>
                <c:pt idx="9">
                  <c:v>0.29894999999999999</c:v>
                </c:pt>
                <c:pt idx="10">
                  <c:v>0.30668333333333331</c:v>
                </c:pt>
                <c:pt idx="11">
                  <c:v>0.31441666666666668</c:v>
                </c:pt>
                <c:pt idx="12">
                  <c:v>0.32214999999999999</c:v>
                </c:pt>
                <c:pt idx="13">
                  <c:v>0.32988333333333331</c:v>
                </c:pt>
                <c:pt idx="14">
                  <c:v>0.33761666666666668</c:v>
                </c:pt>
                <c:pt idx="15">
                  <c:v>0.34534999999999999</c:v>
                </c:pt>
                <c:pt idx="16">
                  <c:v>0.3530833333333333</c:v>
                </c:pt>
                <c:pt idx="17">
                  <c:v>0.36081666666666667</c:v>
                </c:pt>
                <c:pt idx="18">
                  <c:v>0.36854999999999999</c:v>
                </c:pt>
                <c:pt idx="19">
                  <c:v>0.3762833333333333</c:v>
                </c:pt>
                <c:pt idx="20">
                  <c:v>0.38401666666666667</c:v>
                </c:pt>
                <c:pt idx="21">
                  <c:v>0.39175000000000004</c:v>
                </c:pt>
                <c:pt idx="22">
                  <c:v>0.3994833333333333</c:v>
                </c:pt>
                <c:pt idx="23">
                  <c:v>0.40721666666666667</c:v>
                </c:pt>
                <c:pt idx="24">
                  <c:v>0.41494999999999999</c:v>
                </c:pt>
                <c:pt idx="25">
                  <c:v>0.4226833333333333</c:v>
                </c:pt>
                <c:pt idx="26">
                  <c:v>0.43041666666666667</c:v>
                </c:pt>
                <c:pt idx="27">
                  <c:v>0.43815000000000004</c:v>
                </c:pt>
                <c:pt idx="28">
                  <c:v>0.4458833333333333</c:v>
                </c:pt>
                <c:pt idx="29">
                  <c:v>0.45361666666666667</c:v>
                </c:pt>
                <c:pt idx="30">
                  <c:v>0.46134999999999998</c:v>
                </c:pt>
                <c:pt idx="31">
                  <c:v>0.46908333333333335</c:v>
                </c:pt>
                <c:pt idx="32">
                  <c:v>0.47681666666666667</c:v>
                </c:pt>
                <c:pt idx="33">
                  <c:v>0.48454999999999998</c:v>
                </c:pt>
                <c:pt idx="34">
                  <c:v>0.49228333333333335</c:v>
                </c:pt>
                <c:pt idx="35">
                  <c:v>0.50001666666666666</c:v>
                </c:pt>
                <c:pt idx="36">
                  <c:v>0.50774999999999992</c:v>
                </c:pt>
                <c:pt idx="37">
                  <c:v>0.51548333333333329</c:v>
                </c:pt>
                <c:pt idx="38">
                  <c:v>0.52321666666666666</c:v>
                </c:pt>
                <c:pt idx="39">
                  <c:v>0.53095000000000003</c:v>
                </c:pt>
                <c:pt idx="40">
                  <c:v>0.53868333333333329</c:v>
                </c:pt>
                <c:pt idx="41">
                  <c:v>0.54641666666666666</c:v>
                </c:pt>
                <c:pt idx="42">
                  <c:v>0.55415000000000003</c:v>
                </c:pt>
                <c:pt idx="43">
                  <c:v>0.56188333333333329</c:v>
                </c:pt>
                <c:pt idx="44">
                  <c:v>0.56961666666666666</c:v>
                </c:pt>
                <c:pt idx="45">
                  <c:v>0.57735000000000003</c:v>
                </c:pt>
                <c:pt idx="46">
                  <c:v>0.5850833333333334</c:v>
                </c:pt>
                <c:pt idx="47">
                  <c:v>0.59281666666666666</c:v>
                </c:pt>
                <c:pt idx="48">
                  <c:v>0.60054999999999992</c:v>
                </c:pt>
                <c:pt idx="49">
                  <c:v>0.60828333333333329</c:v>
                </c:pt>
                <c:pt idx="50">
                  <c:v>0.61601666666666666</c:v>
                </c:pt>
                <c:pt idx="51">
                  <c:v>0.62375000000000003</c:v>
                </c:pt>
                <c:pt idx="52">
                  <c:v>0.6314833333333334</c:v>
                </c:pt>
                <c:pt idx="53">
                  <c:v>0.63921666666666666</c:v>
                </c:pt>
                <c:pt idx="54">
                  <c:v>0.64695000000000003</c:v>
                </c:pt>
                <c:pt idx="55">
                  <c:v>0.65468333333333328</c:v>
                </c:pt>
                <c:pt idx="56">
                  <c:v>0.66241666666666665</c:v>
                </c:pt>
                <c:pt idx="57">
                  <c:v>0.67015000000000002</c:v>
                </c:pt>
                <c:pt idx="58">
                  <c:v>0.67788333333333339</c:v>
                </c:pt>
                <c:pt idx="59">
                  <c:v>0.68561666666666665</c:v>
                </c:pt>
                <c:pt idx="60">
                  <c:v>0.69334999999999991</c:v>
                </c:pt>
                <c:pt idx="61">
                  <c:v>0.70108333333333328</c:v>
                </c:pt>
                <c:pt idx="62">
                  <c:v>0.70881666666666665</c:v>
                </c:pt>
                <c:pt idx="63">
                  <c:v>0.71655000000000002</c:v>
                </c:pt>
                <c:pt idx="64">
                  <c:v>0.72428333333333339</c:v>
                </c:pt>
                <c:pt idx="65">
                  <c:v>0.73201666666666654</c:v>
                </c:pt>
                <c:pt idx="66">
                  <c:v>0.73974999999999991</c:v>
                </c:pt>
                <c:pt idx="67">
                  <c:v>0.74748333333333328</c:v>
                </c:pt>
                <c:pt idx="68">
                  <c:v>0.75521666666666665</c:v>
                </c:pt>
                <c:pt idx="69">
                  <c:v>0.76295000000000002</c:v>
                </c:pt>
                <c:pt idx="70">
                  <c:v>0.77068333333333339</c:v>
                </c:pt>
                <c:pt idx="71">
                  <c:v>0.77841666666666676</c:v>
                </c:pt>
                <c:pt idx="72">
                  <c:v>0.7861499999999999</c:v>
                </c:pt>
                <c:pt idx="73">
                  <c:v>0.79388333333333327</c:v>
                </c:pt>
                <c:pt idx="74">
                  <c:v>0.80161666666666664</c:v>
                </c:pt>
                <c:pt idx="75">
                  <c:v>0.80935000000000001</c:v>
                </c:pt>
                <c:pt idx="76">
                  <c:v>0.81708333333333338</c:v>
                </c:pt>
                <c:pt idx="77">
                  <c:v>0.82481666666666675</c:v>
                </c:pt>
                <c:pt idx="78">
                  <c:v>0.8325499999999999</c:v>
                </c:pt>
                <c:pt idx="79">
                  <c:v>0.84028333333333327</c:v>
                </c:pt>
                <c:pt idx="80">
                  <c:v>0.84801666666666664</c:v>
                </c:pt>
                <c:pt idx="81">
                  <c:v>0.85575000000000001</c:v>
                </c:pt>
                <c:pt idx="82">
                  <c:v>0.86348333333333338</c:v>
                </c:pt>
                <c:pt idx="83">
                  <c:v>0.87121666666666653</c:v>
                </c:pt>
                <c:pt idx="84">
                  <c:v>0.87895000000000012</c:v>
                </c:pt>
                <c:pt idx="85">
                  <c:v>0.88668333333333327</c:v>
                </c:pt>
                <c:pt idx="86">
                  <c:v>0.89441666666666664</c:v>
                </c:pt>
                <c:pt idx="87">
                  <c:v>0.90215000000000001</c:v>
                </c:pt>
                <c:pt idx="88">
                  <c:v>0.90988333333333338</c:v>
                </c:pt>
                <c:pt idx="89">
                  <c:v>0.91761666666666675</c:v>
                </c:pt>
                <c:pt idx="90">
                  <c:v>0.92535000000000012</c:v>
                </c:pt>
                <c:pt idx="91">
                  <c:v>0.93308333333333326</c:v>
                </c:pt>
                <c:pt idx="92">
                  <c:v>0.94081666666666663</c:v>
                </c:pt>
                <c:pt idx="93">
                  <c:v>0.94855</c:v>
                </c:pt>
                <c:pt idx="94">
                  <c:v>0.95628333333333337</c:v>
                </c:pt>
                <c:pt idx="95">
                  <c:v>0.96401666666666674</c:v>
                </c:pt>
                <c:pt idx="96">
                  <c:v>0.97174999999999989</c:v>
                </c:pt>
                <c:pt idx="97">
                  <c:v>0.97948333333333326</c:v>
                </c:pt>
                <c:pt idx="98">
                  <c:v>0.98721666666666663</c:v>
                </c:pt>
                <c:pt idx="99">
                  <c:v>0.99495</c:v>
                </c:pt>
                <c:pt idx="100">
                  <c:v>1.0026833333333334</c:v>
                </c:pt>
                <c:pt idx="101">
                  <c:v>1.0104166666666665</c:v>
                </c:pt>
                <c:pt idx="102">
                  <c:v>1.0181500000000001</c:v>
                </c:pt>
                <c:pt idx="103">
                  <c:v>1.0258833333333335</c:v>
                </c:pt>
                <c:pt idx="104">
                  <c:v>1.0336166666666666</c:v>
                </c:pt>
                <c:pt idx="105">
                  <c:v>1.04135</c:v>
                </c:pt>
                <c:pt idx="106">
                  <c:v>1.0490833333333334</c:v>
                </c:pt>
                <c:pt idx="107">
                  <c:v>1.0568166666666667</c:v>
                </c:pt>
                <c:pt idx="108">
                  <c:v>1.0645500000000001</c:v>
                </c:pt>
                <c:pt idx="109">
                  <c:v>1.0722833333333333</c:v>
                </c:pt>
                <c:pt idx="110">
                  <c:v>1.0800166666666666</c:v>
                </c:pt>
                <c:pt idx="111">
                  <c:v>1.08775</c:v>
                </c:pt>
                <c:pt idx="112">
                  <c:v>1.0954833333333334</c:v>
                </c:pt>
                <c:pt idx="113">
                  <c:v>1.1032166666666667</c:v>
                </c:pt>
                <c:pt idx="114">
                  <c:v>1.1109499999999999</c:v>
                </c:pt>
                <c:pt idx="115">
                  <c:v>1.1186833333333333</c:v>
                </c:pt>
                <c:pt idx="116">
                  <c:v>1.1264166666666666</c:v>
                </c:pt>
                <c:pt idx="117">
                  <c:v>1.13415</c:v>
                </c:pt>
                <c:pt idx="118">
                  <c:v>1.1418833333333334</c:v>
                </c:pt>
                <c:pt idx="119">
                  <c:v>1.1496166666666665</c:v>
                </c:pt>
                <c:pt idx="120">
                  <c:v>1.1573499999999999</c:v>
                </c:pt>
                <c:pt idx="121">
                  <c:v>1.1650833333333335</c:v>
                </c:pt>
                <c:pt idx="122">
                  <c:v>1.1728166666666666</c:v>
                </c:pt>
                <c:pt idx="123">
                  <c:v>1.18055</c:v>
                </c:pt>
                <c:pt idx="124">
                  <c:v>1.1882833333333334</c:v>
                </c:pt>
                <c:pt idx="125">
                  <c:v>1.1960166666666667</c:v>
                </c:pt>
                <c:pt idx="126">
                  <c:v>1.2037500000000001</c:v>
                </c:pt>
                <c:pt idx="127">
                  <c:v>1.2114833333333332</c:v>
                </c:pt>
                <c:pt idx="128">
                  <c:v>1.2192166666666666</c:v>
                </c:pt>
                <c:pt idx="129">
                  <c:v>1.22695</c:v>
                </c:pt>
                <c:pt idx="130">
                  <c:v>1.2346833333333331</c:v>
                </c:pt>
                <c:pt idx="131">
                  <c:v>1.2424166666666667</c:v>
                </c:pt>
                <c:pt idx="132">
                  <c:v>1.2501499999999999</c:v>
                </c:pt>
                <c:pt idx="133">
                  <c:v>1.2578833333333332</c:v>
                </c:pt>
                <c:pt idx="134">
                  <c:v>1.2656166666666666</c:v>
                </c:pt>
                <c:pt idx="135">
                  <c:v>1.27335</c:v>
                </c:pt>
                <c:pt idx="136">
                  <c:v>1.2810833333333334</c:v>
                </c:pt>
                <c:pt idx="137">
                  <c:v>1.2888166666666667</c:v>
                </c:pt>
                <c:pt idx="138">
                  <c:v>1.2965499999999999</c:v>
                </c:pt>
                <c:pt idx="139">
                  <c:v>1.3042833333333332</c:v>
                </c:pt>
                <c:pt idx="140">
                  <c:v>1.3120166666666666</c:v>
                </c:pt>
                <c:pt idx="141">
                  <c:v>1.31975</c:v>
                </c:pt>
                <c:pt idx="142">
                  <c:v>1.3274833333333333</c:v>
                </c:pt>
                <c:pt idx="143">
                  <c:v>1.3352166666666665</c:v>
                </c:pt>
                <c:pt idx="144">
                  <c:v>1.3429499999999999</c:v>
                </c:pt>
                <c:pt idx="145">
                  <c:v>1.3506833333333332</c:v>
                </c:pt>
                <c:pt idx="146">
                  <c:v>1.3584166666666666</c:v>
                </c:pt>
                <c:pt idx="147">
                  <c:v>1.36615</c:v>
                </c:pt>
                <c:pt idx="148">
                  <c:v>1.3738833333333331</c:v>
                </c:pt>
                <c:pt idx="149">
                  <c:v>1.3816166666666667</c:v>
                </c:pt>
                <c:pt idx="150">
                  <c:v>1.3893499999999999</c:v>
                </c:pt>
              </c:numCache>
            </c:numRef>
          </c:yVal>
          <c:smooth val="1"/>
          <c:extLst>
            <c:ext xmlns:c16="http://schemas.microsoft.com/office/drawing/2014/chart" uri="{C3380CC4-5D6E-409C-BE32-E72D297353CC}">
              <c16:uniqueId val="{00000002-EBB2-49C9-A014-1F538461E4EA}"/>
            </c:ext>
          </c:extLst>
        </c:ser>
        <c:ser>
          <c:idx val="3"/>
          <c:order val="3"/>
          <c:tx>
            <c:v>RCS</c:v>
          </c:tx>
          <c:spPr>
            <a:ln>
              <a:solidFill>
                <a:schemeClr val="accent5">
                  <a:lumMod val="75000"/>
                </a:schemeClr>
              </a:solidFill>
              <a:prstDash val="lgDashDotDot"/>
            </a:ln>
          </c:spPr>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Eff_vs_IOUT!$AO$7:$AO$157</c:f>
              <c:numCache>
                <c:formatCode>General</c:formatCode>
                <c:ptCount val="151"/>
                <c:pt idx="0">
                  <c:v>0</c:v>
                </c:pt>
                <c:pt idx="1">
                  <c:v>3.9360661579559786E-6</c:v>
                </c:pt>
                <c:pt idx="2">
                  <c:v>1.113287628595821E-5</c:v>
                </c:pt>
                <c:pt idx="3">
                  <c:v>2.0452399702596552E-5</c:v>
                </c:pt>
                <c:pt idx="4">
                  <c:v>3.1488529263647829E-5</c:v>
                </c:pt>
                <c:pt idx="5">
                  <c:v>4.4006557465629971E-5</c:v>
                </c:pt>
                <c:pt idx="6">
                  <c:v>5.7848122084974975E-5</c:v>
                </c:pt>
                <c:pt idx="7">
                  <c:v>7.2896965384942981E-5</c:v>
                </c:pt>
                <c:pt idx="8">
                  <c:v>8.9063010287665682E-5</c:v>
                </c:pt>
                <c:pt idx="9">
                  <c:v>1.0627378626481143E-4</c:v>
                </c:pt>
                <c:pt idx="10">
                  <c:v>1.2446934080248982E-4</c:v>
                </c:pt>
                <c:pt idx="11">
                  <c:v>1.4359900055551308E-4</c:v>
                </c:pt>
                <c:pt idx="12">
                  <c:v>1.6361919762077239E-4</c:v>
                </c:pt>
                <c:pt idx="13">
                  <c:v>1.8449194862967485E-4</c:v>
                </c:pt>
                <c:pt idx="14">
                  <c:v>2.0618375420645686E-4</c:v>
                </c:pt>
                <c:pt idx="15">
                  <c:v>2.2866478019001194E-4</c:v>
                </c:pt>
                <c:pt idx="16">
                  <c:v>2.5190823410918263E-4</c:v>
                </c:pt>
                <c:pt idx="17">
                  <c:v>2.7588988081741708E-4</c:v>
                </c:pt>
                <c:pt idx="18">
                  <c:v>3.005876597208719E-4</c:v>
                </c:pt>
                <c:pt idx="19">
                  <c:v>3.2598137773479004E-4</c:v>
                </c:pt>
                <c:pt idx="20">
                  <c:v>3.5205245972503983E-4</c:v>
                </c:pt>
                <c:pt idx="21">
                  <c:v>3.7878374329293306E-4</c:v>
                </c:pt>
                <c:pt idx="22">
                  <c:v>4.0615930825765645E-4</c:v>
                </c:pt>
                <c:pt idx="23">
                  <c:v>4.341643336379022E-4</c:v>
                </c:pt>
                <c:pt idx="24">
                  <c:v>4.6278497667979985E-4</c:v>
                </c:pt>
                <c:pt idx="25">
                  <c:v>4.9200826974449773E-4</c:v>
                </c:pt>
                <c:pt idx="26">
                  <c:v>5.2182203180145277E-4</c:v>
                </c:pt>
                <c:pt idx="27">
                  <c:v>5.5221479197010677E-4</c:v>
                </c:pt>
                <c:pt idx="28">
                  <c:v>5.8317572307954374E-4</c:v>
                </c:pt>
                <c:pt idx="29">
                  <c:v>7.2445308309719461E-4</c:v>
                </c:pt>
                <c:pt idx="30">
                  <c:v>7.6491947541543843E-4</c:v>
                </c:pt>
                <c:pt idx="31">
                  <c:v>8.0675760984616539E-4</c:v>
                </c:pt>
                <c:pt idx="32">
                  <c:v>8.4996748638937515E-4</c:v>
                </c:pt>
                <c:pt idx="33">
                  <c:v>8.9454910504506793E-4</c:v>
                </c:pt>
                <c:pt idx="34">
                  <c:v>9.4050246581324373E-4</c:v>
                </c:pt>
                <c:pt idx="35">
                  <c:v>9.8782756869390223E-4</c:v>
                </c:pt>
                <c:pt idx="36">
                  <c:v>1.036524413687043E-3</c:v>
                </c:pt>
                <c:pt idx="37">
                  <c:v>1.0865930007926672E-3</c:v>
                </c:pt>
                <c:pt idx="38">
                  <c:v>1.1380333300107747E-3</c:v>
                </c:pt>
                <c:pt idx="39">
                  <c:v>1.1908454013413645E-3</c:v>
                </c:pt>
                <c:pt idx="40">
                  <c:v>1.2450292147844367E-3</c:v>
                </c:pt>
                <c:pt idx="41">
                  <c:v>1.3005847703399926E-3</c:v>
                </c:pt>
                <c:pt idx="42">
                  <c:v>1.357512068008031E-3</c:v>
                </c:pt>
                <c:pt idx="43">
                  <c:v>1.4158111077885514E-3</c:v>
                </c:pt>
                <c:pt idx="44">
                  <c:v>1.4754818896815563E-3</c:v>
                </c:pt>
                <c:pt idx="45">
                  <c:v>1.5365244136870439E-3</c:v>
                </c:pt>
                <c:pt idx="46">
                  <c:v>1.5989386798050122E-3</c:v>
                </c:pt>
                <c:pt idx="47">
                  <c:v>1.662724688035466E-3</c:v>
                </c:pt>
                <c:pt idx="48">
                  <c:v>1.7278824383784002E-3</c:v>
                </c:pt>
                <c:pt idx="49">
                  <c:v>1.7944119308338192E-3</c:v>
                </c:pt>
                <c:pt idx="50">
                  <c:v>1.8623131654017212E-3</c:v>
                </c:pt>
                <c:pt idx="51">
                  <c:v>1.9315861420821055E-3</c:v>
                </c:pt>
                <c:pt idx="52">
                  <c:v>2.0022308608749709E-3</c:v>
                </c:pt>
                <c:pt idx="53">
                  <c:v>2.0742473217803207E-3</c:v>
                </c:pt>
                <c:pt idx="54">
                  <c:v>2.1476355247981535E-3</c:v>
                </c:pt>
                <c:pt idx="55">
                  <c:v>2.2223954699284684E-3</c:v>
                </c:pt>
                <c:pt idx="56">
                  <c:v>2.2985271571712667E-3</c:v>
                </c:pt>
                <c:pt idx="57">
                  <c:v>2.3760305865265486E-3</c:v>
                </c:pt>
                <c:pt idx="58">
                  <c:v>2.4549057579943134E-3</c:v>
                </c:pt>
                <c:pt idx="59">
                  <c:v>2.5351526715745591E-3</c:v>
                </c:pt>
                <c:pt idx="60">
                  <c:v>2.6167713272672883E-3</c:v>
                </c:pt>
                <c:pt idx="61">
                  <c:v>2.6997617250725022E-3</c:v>
                </c:pt>
                <c:pt idx="62">
                  <c:v>2.7841238649901979E-3</c:v>
                </c:pt>
                <c:pt idx="63">
                  <c:v>2.8698577470203769E-3</c:v>
                </c:pt>
                <c:pt idx="64">
                  <c:v>2.956963371163036E-3</c:v>
                </c:pt>
                <c:pt idx="65">
                  <c:v>3.0454407374181807E-3</c:v>
                </c:pt>
                <c:pt idx="66">
                  <c:v>3.1352898457858076E-3</c:v>
                </c:pt>
                <c:pt idx="67">
                  <c:v>3.2265106962659183E-3</c:v>
                </c:pt>
                <c:pt idx="68">
                  <c:v>3.3191032888585099E-3</c:v>
                </c:pt>
                <c:pt idx="69">
                  <c:v>3.4130676235635845E-3</c:v>
                </c:pt>
                <c:pt idx="70">
                  <c:v>3.5084037003811431E-3</c:v>
                </c:pt>
                <c:pt idx="71">
                  <c:v>3.605111519311185E-3</c:v>
                </c:pt>
                <c:pt idx="72">
                  <c:v>3.7031910803537078E-3</c:v>
                </c:pt>
                <c:pt idx="73">
                  <c:v>3.8026423835087158E-3</c:v>
                </c:pt>
                <c:pt idx="74">
                  <c:v>3.9034654287762043E-3</c:v>
                </c:pt>
                <c:pt idx="75">
                  <c:v>4.0056602161561775E-3</c:v>
                </c:pt>
                <c:pt idx="76">
                  <c:v>4.1092267456486328E-3</c:v>
                </c:pt>
                <c:pt idx="77">
                  <c:v>4.2141650172535725E-3</c:v>
                </c:pt>
                <c:pt idx="78">
                  <c:v>4.3204750309709921E-3</c:v>
                </c:pt>
                <c:pt idx="79">
                  <c:v>4.4281567868008969E-3</c:v>
                </c:pt>
                <c:pt idx="80">
                  <c:v>4.5372102847432818E-3</c:v>
                </c:pt>
                <c:pt idx="81">
                  <c:v>4.6476355247981552E-3</c:v>
                </c:pt>
                <c:pt idx="82">
                  <c:v>4.7594325069655061E-3</c:v>
                </c:pt>
                <c:pt idx="83">
                  <c:v>4.8726012312453413E-3</c:v>
                </c:pt>
                <c:pt idx="84">
                  <c:v>4.9871416976376599E-3</c:v>
                </c:pt>
                <c:pt idx="85">
                  <c:v>5.1030539061424612E-3</c:v>
                </c:pt>
                <c:pt idx="86">
                  <c:v>5.2203378567597415E-3</c:v>
                </c:pt>
                <c:pt idx="87">
                  <c:v>5.3389935494895123E-3</c:v>
                </c:pt>
                <c:pt idx="88">
                  <c:v>5.459020984331763E-3</c:v>
                </c:pt>
                <c:pt idx="89">
                  <c:v>5.5804201612864937E-3</c:v>
                </c:pt>
                <c:pt idx="90">
                  <c:v>5.7031910803537105E-3</c:v>
                </c:pt>
                <c:pt idx="91">
                  <c:v>5.8273337415334072E-3</c:v>
                </c:pt>
                <c:pt idx="92">
                  <c:v>5.9528481448255901E-3</c:v>
                </c:pt>
                <c:pt idx="93">
                  <c:v>6.079734290230252E-3</c:v>
                </c:pt>
                <c:pt idx="94">
                  <c:v>6.2079921777474E-3</c:v>
                </c:pt>
                <c:pt idx="95">
                  <c:v>6.3376218073770306E-3</c:v>
                </c:pt>
                <c:pt idx="96">
                  <c:v>6.4686231791191411E-3</c:v>
                </c:pt>
                <c:pt idx="97">
                  <c:v>6.6009962929737378E-3</c:v>
                </c:pt>
                <c:pt idx="98">
                  <c:v>6.7347411489408161E-3</c:v>
                </c:pt>
                <c:pt idx="99">
                  <c:v>6.8698577470203753E-3</c:v>
                </c:pt>
                <c:pt idx="100">
                  <c:v>7.0063460872124214E-3</c:v>
                </c:pt>
                <c:pt idx="101">
                  <c:v>7.1442061695169458E-3</c:v>
                </c:pt>
                <c:pt idx="102">
                  <c:v>7.2834379939339571E-3</c:v>
                </c:pt>
                <c:pt idx="103">
                  <c:v>7.4240415604634492E-3</c:v>
                </c:pt>
                <c:pt idx="104">
                  <c:v>7.5660168691054214E-3</c:v>
                </c:pt>
                <c:pt idx="105">
                  <c:v>7.7093639198598822E-3</c:v>
                </c:pt>
                <c:pt idx="106">
                  <c:v>7.8540827127268221E-3</c:v>
                </c:pt>
                <c:pt idx="107">
                  <c:v>8.0001732477062472E-3</c:v>
                </c:pt>
                <c:pt idx="108">
                  <c:v>8.1476355247981531E-3</c:v>
                </c:pt>
                <c:pt idx="109">
                  <c:v>8.2964695440025434E-3</c:v>
                </c:pt>
                <c:pt idx="110">
                  <c:v>8.4466753053194128E-3</c:v>
                </c:pt>
                <c:pt idx="111">
                  <c:v>8.5982528087487735E-3</c:v>
                </c:pt>
                <c:pt idx="112">
                  <c:v>8.7512020542906081E-3</c:v>
                </c:pt>
                <c:pt idx="113">
                  <c:v>8.9055230419449304E-3</c:v>
                </c:pt>
                <c:pt idx="114">
                  <c:v>9.0612157717117336E-3</c:v>
                </c:pt>
                <c:pt idx="115">
                  <c:v>9.2182802435910195E-3</c:v>
                </c:pt>
                <c:pt idx="116">
                  <c:v>9.3767164575827896E-3</c:v>
                </c:pt>
                <c:pt idx="117">
                  <c:v>9.5365244136870423E-3</c:v>
                </c:pt>
                <c:pt idx="118">
                  <c:v>9.6977041119037776E-3</c:v>
                </c:pt>
                <c:pt idx="119">
                  <c:v>9.8602555522329972E-3</c:v>
                </c:pt>
                <c:pt idx="120">
                  <c:v>1.0024178734674691E-2</c:v>
                </c:pt>
                <c:pt idx="121">
                  <c:v>1.0189473659228883E-2</c:v>
                </c:pt>
                <c:pt idx="122">
                  <c:v>1.0356140325895552E-2</c:v>
                </c:pt>
                <c:pt idx="123">
                  <c:v>1.0524178734674695E-2</c:v>
                </c:pt>
                <c:pt idx="124">
                  <c:v>1.0693588885566334E-2</c:v>
                </c:pt>
                <c:pt idx="125">
                  <c:v>1.0864370778570448E-2</c:v>
                </c:pt>
                <c:pt idx="126">
                  <c:v>1.1036524413687045E-2</c:v>
                </c:pt>
                <c:pt idx="127">
                  <c:v>1.1210049790916122E-2</c:v>
                </c:pt>
                <c:pt idx="128">
                  <c:v>1.1384946910257685E-2</c:v>
                </c:pt>
                <c:pt idx="129">
                  <c:v>1.1561215771711739E-2</c:v>
                </c:pt>
                <c:pt idx="130">
                  <c:v>1.1738856375278264E-2</c:v>
                </c:pt>
                <c:pt idx="131">
                  <c:v>1.1917868720957278E-2</c:v>
                </c:pt>
                <c:pt idx="132">
                  <c:v>1.2098252808748768E-2</c:v>
                </c:pt>
                <c:pt idx="133">
                  <c:v>1.2280008638652747E-2</c:v>
                </c:pt>
                <c:pt idx="134">
                  <c:v>1.2463136210669218E-2</c:v>
                </c:pt>
                <c:pt idx="135">
                  <c:v>1.2647635524798148E-2</c:v>
                </c:pt>
                <c:pt idx="136">
                  <c:v>1.2833506581039577E-2</c:v>
                </c:pt>
                <c:pt idx="137">
                  <c:v>1.3020749379393492E-2</c:v>
                </c:pt>
                <c:pt idx="138">
                  <c:v>1.3209363919859878E-2</c:v>
                </c:pt>
                <c:pt idx="139">
                  <c:v>1.3399350202438758E-2</c:v>
                </c:pt>
                <c:pt idx="140">
                  <c:v>1.3590708227130112E-2</c:v>
                </c:pt>
                <c:pt idx="141">
                  <c:v>1.3783437993933959E-2</c:v>
                </c:pt>
                <c:pt idx="142">
                  <c:v>1.3977539502850281E-2</c:v>
                </c:pt>
                <c:pt idx="143">
                  <c:v>1.4173012753879083E-2</c:v>
                </c:pt>
                <c:pt idx="144">
                  <c:v>1.4369857747020374E-2</c:v>
                </c:pt>
                <c:pt idx="145">
                  <c:v>1.4568074482274148E-2</c:v>
                </c:pt>
                <c:pt idx="146">
                  <c:v>1.4767662959640399E-2</c:v>
                </c:pt>
                <c:pt idx="147">
                  <c:v>1.496862317911914E-2</c:v>
                </c:pt>
                <c:pt idx="148">
                  <c:v>1.5170955140710358E-2</c:v>
                </c:pt>
                <c:pt idx="149">
                  <c:v>1.5374658844414057E-2</c:v>
                </c:pt>
                <c:pt idx="150">
                  <c:v>1.5579734290230254E-2</c:v>
                </c:pt>
              </c:numCache>
            </c:numRef>
          </c:yVal>
          <c:smooth val="1"/>
          <c:extLst>
            <c:ext xmlns:c16="http://schemas.microsoft.com/office/drawing/2014/chart" uri="{C3380CC4-5D6E-409C-BE32-E72D297353CC}">
              <c16:uniqueId val="{00000003-EBB2-49C9-A014-1F538461E4EA}"/>
            </c:ext>
          </c:extLst>
        </c:ser>
        <c:dLbls>
          <c:showLegendKey val="0"/>
          <c:showVal val="0"/>
          <c:showCatName val="0"/>
          <c:showSerName val="0"/>
          <c:showPercent val="0"/>
          <c:showBubbleSize val="0"/>
        </c:dLbls>
        <c:axId val="157162112"/>
        <c:axId val="157160192"/>
      </c:scatterChart>
      <c:valAx>
        <c:axId val="144893056"/>
        <c:scaling>
          <c:orientation val="minMax"/>
        </c:scaling>
        <c:delete val="0"/>
        <c:axPos val="b"/>
        <c:majorGridlines/>
        <c:numFmt formatCode="General" sourceLinked="1"/>
        <c:majorTickMark val="out"/>
        <c:minorTickMark val="none"/>
        <c:tickLblPos val="nextTo"/>
        <c:crossAx val="144894592"/>
        <c:crosses val="autoZero"/>
        <c:crossBetween val="midCat"/>
      </c:valAx>
      <c:valAx>
        <c:axId val="144894592"/>
        <c:scaling>
          <c:orientation val="minMax"/>
          <c:max val="100"/>
          <c:min val="70"/>
        </c:scaling>
        <c:delete val="0"/>
        <c:axPos val="l"/>
        <c:majorGridlines/>
        <c:title>
          <c:tx>
            <c:rich>
              <a:bodyPr rot="-5400000" vert="horz"/>
              <a:lstStyle/>
              <a:p>
                <a:pPr>
                  <a:defRPr sz="1400"/>
                </a:pPr>
                <a:r>
                  <a:rPr lang="en-US" sz="1400"/>
                  <a:t>Efficiency</a:t>
                </a:r>
                <a:r>
                  <a:rPr lang="en-US" sz="1400" baseline="0"/>
                  <a:t> (%)</a:t>
                </a:r>
                <a:endParaRPr lang="en-US" sz="1400"/>
              </a:p>
            </c:rich>
          </c:tx>
          <c:overlay val="0"/>
        </c:title>
        <c:numFmt formatCode="General" sourceLinked="1"/>
        <c:majorTickMark val="out"/>
        <c:minorTickMark val="none"/>
        <c:tickLblPos val="nextTo"/>
        <c:crossAx val="144893056"/>
        <c:crosses val="autoZero"/>
        <c:crossBetween val="midCat"/>
      </c:valAx>
      <c:valAx>
        <c:axId val="157160192"/>
        <c:scaling>
          <c:orientation val="minMax"/>
        </c:scaling>
        <c:delete val="0"/>
        <c:axPos val="r"/>
        <c:title>
          <c:tx>
            <c:rich>
              <a:bodyPr rot="-5400000" vert="horz"/>
              <a:lstStyle/>
              <a:p>
                <a:pPr>
                  <a:defRPr sz="1400"/>
                </a:pPr>
                <a:r>
                  <a:rPr lang="en-US" sz="1400"/>
                  <a:t>Losses</a:t>
                </a:r>
                <a:r>
                  <a:rPr lang="en-US" sz="1400" baseline="0"/>
                  <a:t> (W)</a:t>
                </a:r>
                <a:endParaRPr lang="en-US" sz="1400"/>
              </a:p>
            </c:rich>
          </c:tx>
          <c:overlay val="0"/>
        </c:title>
        <c:numFmt formatCode="General" sourceLinked="1"/>
        <c:majorTickMark val="out"/>
        <c:minorTickMark val="none"/>
        <c:tickLblPos val="nextTo"/>
        <c:crossAx val="157162112"/>
        <c:crosses val="max"/>
        <c:crossBetween val="midCat"/>
      </c:valAx>
      <c:valAx>
        <c:axId val="157162112"/>
        <c:scaling>
          <c:orientation val="minMax"/>
        </c:scaling>
        <c:delete val="1"/>
        <c:axPos val="b"/>
        <c:title>
          <c:tx>
            <c:rich>
              <a:bodyPr/>
              <a:lstStyle/>
              <a:p>
                <a:pPr>
                  <a:defRPr/>
                </a:pPr>
                <a:r>
                  <a:rPr lang="en-US"/>
                  <a:t>Load</a:t>
                </a:r>
                <a:r>
                  <a:rPr lang="en-US" baseline="0"/>
                  <a:t> Current (A)</a:t>
                </a:r>
                <a:endParaRPr lang="en-US"/>
              </a:p>
            </c:rich>
          </c:tx>
          <c:overlay val="0"/>
        </c:title>
        <c:numFmt formatCode="General" sourceLinked="1"/>
        <c:majorTickMark val="out"/>
        <c:minorTickMark val="none"/>
        <c:tickLblPos val="nextTo"/>
        <c:crossAx val="157160192"/>
        <c:crosses val="autoZero"/>
        <c:crossBetween val="midCat"/>
      </c:valAx>
    </c:plotArea>
    <c:legend>
      <c:legendPos val="r"/>
      <c:layout>
        <c:manualLayout>
          <c:xMode val="edge"/>
          <c:yMode val="edge"/>
          <c:x val="0.51894403926190358"/>
          <c:y val="6.4862204724409449E-3"/>
          <c:w val="0.39609572935704079"/>
          <c:h val="0.12183653099700564"/>
        </c:manualLayout>
      </c:layout>
      <c:overlay val="1"/>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Efficiency</a:t>
            </a:r>
          </a:p>
        </c:rich>
      </c:tx>
      <c:overlay val="0"/>
    </c:title>
    <c:autoTitleDeleted val="0"/>
    <c:plotArea>
      <c:layout/>
      <c:scatterChart>
        <c:scatterStyle val="smoothMarker"/>
        <c:varyColors val="0"/>
        <c:ser>
          <c:idx val="0"/>
          <c:order val="0"/>
          <c:tx>
            <c:v>Eff</c:v>
          </c:tx>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Eff_vs_IOUT!$AT$7:$AT$157</c:f>
              <c:numCache>
                <c:formatCode>General</c:formatCode>
                <c:ptCount val="151"/>
                <c:pt idx="0">
                  <c:v>0</c:v>
                </c:pt>
                <c:pt idx="1">
                  <c:v>46.758318052445624</c:v>
                </c:pt>
                <c:pt idx="2">
                  <c:v>62.926234121429701</c:v>
                </c:pt>
                <c:pt idx="3">
                  <c:v>71.123422480481963</c:v>
                </c:pt>
                <c:pt idx="4">
                  <c:v>76.078358560374198</c:v>
                </c:pt>
                <c:pt idx="5">
                  <c:v>79.396921840599362</c:v>
                </c:pt>
                <c:pt idx="6">
                  <c:v>81.774765377402375</c:v>
                </c:pt>
                <c:pt idx="7">
                  <c:v>83.562176175261953</c:v>
                </c:pt>
                <c:pt idx="8">
                  <c:v>84.954736601946905</c:v>
                </c:pt>
                <c:pt idx="9">
                  <c:v>86.070238250511807</c:v>
                </c:pt>
                <c:pt idx="10">
                  <c:v>86.983859243082776</c:v>
                </c:pt>
                <c:pt idx="11">
                  <c:v>87.745836052529086</c:v>
                </c:pt>
                <c:pt idx="12">
                  <c:v>88.391014687793216</c:v>
                </c:pt>
                <c:pt idx="13">
                  <c:v>88.944325091872784</c:v>
                </c:pt>
                <c:pt idx="14">
                  <c:v>89.424074053041267</c:v>
                </c:pt>
                <c:pt idx="15">
                  <c:v>89.844007644797927</c:v>
                </c:pt>
                <c:pt idx="16">
                  <c:v>90.214648168683837</c:v>
                </c:pt>
                <c:pt idx="17">
                  <c:v>90.544186849150449</c:v>
                </c:pt>
                <c:pt idx="18">
                  <c:v>90.839095462728352</c:v>
                </c:pt>
                <c:pt idx="19">
                  <c:v>91.104554996009895</c:v>
                </c:pt>
                <c:pt idx="20">
                  <c:v>91.34476215853141</c:v>
                </c:pt>
                <c:pt idx="21">
                  <c:v>91.563152515046113</c:v>
                </c:pt>
                <c:pt idx="22">
                  <c:v>91.762565551582028</c:v>
                </c:pt>
                <c:pt idx="23">
                  <c:v>91.945368571450189</c:v>
                </c:pt>
                <c:pt idx="24">
                  <c:v>92.113550922828082</c:v>
                </c:pt>
                <c:pt idx="25">
                  <c:v>92.268796528275615</c:v>
                </c:pt>
                <c:pt idx="26">
                  <c:v>92.412540329892792</c:v>
                </c:pt>
                <c:pt idx="27">
                  <c:v>92.546012663143856</c:v>
                </c:pt>
                <c:pt idx="28">
                  <c:v>92.670274467483338</c:v>
                </c:pt>
                <c:pt idx="29">
                  <c:v>92.748184225838543</c:v>
                </c:pt>
                <c:pt idx="30">
                  <c:v>92.855704580626494</c:v>
                </c:pt>
                <c:pt idx="31">
                  <c:v>92.956404522391765</c:v>
                </c:pt>
                <c:pt idx="32">
                  <c:v>93.050902945592497</c:v>
                </c:pt>
                <c:pt idx="33">
                  <c:v>93.139746064575206</c:v>
                </c:pt>
                <c:pt idx="34">
                  <c:v>93.22341777829989</c:v>
                </c:pt>
                <c:pt idx="35">
                  <c:v>93.302348310546563</c:v>
                </c:pt>
                <c:pt idx="36">
                  <c:v>93.376921451324023</c:v>
                </c:pt>
                <c:pt idx="37">
                  <c:v>93.447480656739188</c:v>
                </c:pt>
                <c:pt idx="38">
                  <c:v>93.514334211897548</c:v>
                </c:pt>
                <c:pt idx="39">
                  <c:v>93.577759620552939</c:v>
                </c:pt>
                <c:pt idx="40">
                  <c:v>93.638007353328476</c:v>
                </c:pt>
                <c:pt idx="41">
                  <c:v>93.69530406125746</c:v>
                </c:pt>
                <c:pt idx="42">
                  <c:v>93.749855341561357</c:v>
                </c:pt>
                <c:pt idx="43">
                  <c:v>93.801848126800863</c:v>
                </c:pt>
                <c:pt idx="44">
                  <c:v>93.851452755906621</c:v>
                </c:pt>
                <c:pt idx="45">
                  <c:v>93.898824775435017</c:v>
                </c:pt>
                <c:pt idx="46">
                  <c:v>93.944106511175747</c:v>
                </c:pt>
                <c:pt idx="47">
                  <c:v>93.98742844355904</c:v>
                </c:pt>
                <c:pt idx="48">
                  <c:v>94.028910414855957</c:v>
                </c:pt>
                <c:pt idx="49">
                  <c:v>94.068662691692097</c:v>
                </c:pt>
                <c:pt idx="50">
                  <c:v>94.10678690270953</c:v>
                </c:pt>
                <c:pt idx="51">
                  <c:v>94.143376868164538</c:v>
                </c:pt>
                <c:pt idx="52">
                  <c:v>94.178519335717013</c:v>
                </c:pt>
                <c:pt idx="53">
                  <c:v>94.21229463455802</c:v>
                </c:pt>
                <c:pt idx="54">
                  <c:v>94.244777258257699</c:v>
                </c:pt>
                <c:pt idx="55">
                  <c:v>94.276036385233155</c:v>
                </c:pt>
                <c:pt idx="56">
                  <c:v>94.306136344489246</c:v>
                </c:pt>
                <c:pt idx="57">
                  <c:v>94.335137033230154</c:v>
                </c:pt>
                <c:pt idx="58">
                  <c:v>94.363094292045929</c:v>
                </c:pt>
                <c:pt idx="59">
                  <c:v>94.390060242618887</c:v>
                </c:pt>
                <c:pt idx="60">
                  <c:v>94.416083592245968</c:v>
                </c:pt>
                <c:pt idx="61">
                  <c:v>94.441209908920669</c:v>
                </c:pt>
                <c:pt idx="62">
                  <c:v>94.465481870241916</c:v>
                </c:pt>
                <c:pt idx="63">
                  <c:v>94.488939489010122</c:v>
                </c:pt>
                <c:pt idx="64">
                  <c:v>94.511620318018615</c:v>
                </c:pt>
                <c:pt idx="65">
                  <c:v>94.533559636244945</c:v>
                </c:pt>
                <c:pt idx="66">
                  <c:v>94.554790618383507</c:v>
                </c:pt>
                <c:pt idx="67">
                  <c:v>94.575344489432993</c:v>
                </c:pt>
                <c:pt idx="68">
                  <c:v>94.595250665853271</c:v>
                </c:pt>
                <c:pt idx="69">
                  <c:v>94.614536884633765</c:v>
                </c:pt>
                <c:pt idx="70">
                  <c:v>94.633229321464</c:v>
                </c:pt>
                <c:pt idx="71">
                  <c:v>94.651352699065015</c:v>
                </c:pt>
                <c:pt idx="72">
                  <c:v>94.668930386624268</c:v>
                </c:pt>
                <c:pt idx="73">
                  <c:v>94.685984491174963</c:v>
                </c:pt>
                <c:pt idx="74">
                  <c:v>94.702535941670888</c:v>
                </c:pt>
                <c:pt idx="75">
                  <c:v>94.718604566429306</c:v>
                </c:pt>
                <c:pt idx="76">
                  <c:v>94.734209164543941</c:v>
                </c:pt>
                <c:pt idx="77">
                  <c:v>94.74936757180906</c:v>
                </c:pt>
                <c:pt idx="78">
                  <c:v>94.764096721640584</c:v>
                </c:pt>
                <c:pt idx="79">
                  <c:v>94.778412701431463</c:v>
                </c:pt>
                <c:pt idx="80">
                  <c:v>94.792330804735997</c:v>
                </c:pt>
                <c:pt idx="81">
                  <c:v>94.805865579638308</c:v>
                </c:pt>
                <c:pt idx="82">
                  <c:v>94.81903087362717</c:v>
                </c:pt>
                <c:pt idx="83">
                  <c:v>94.831839875267647</c:v>
                </c:pt>
                <c:pt idx="84">
                  <c:v>94.844305152933401</c:v>
                </c:pt>
                <c:pt idx="85">
                  <c:v>94.856438690838729</c:v>
                </c:pt>
                <c:pt idx="86">
                  <c:v>94.868251922587149</c:v>
                </c:pt>
                <c:pt idx="87">
                  <c:v>94.879755762434471</c:v>
                </c:pt>
                <c:pt idx="88">
                  <c:v>94.890960634445534</c:v>
                </c:pt>
                <c:pt idx="89">
                  <c:v>94.901876499708436</c:v>
                </c:pt>
                <c:pt idx="90">
                  <c:v>94.912512881755802</c:v>
                </c:pt>
                <c:pt idx="91">
                  <c:v>94.922878890329031</c:v>
                </c:pt>
                <c:pt idx="92">
                  <c:v>94.932983243610607</c:v>
                </c:pt>
                <c:pt idx="93">
                  <c:v>94.942834289037975</c:v>
                </c:pt>
                <c:pt idx="94">
                  <c:v>94.952440022804012</c:v>
                </c:pt>
                <c:pt idx="95">
                  <c:v>94.961808108139294</c:v>
                </c:pt>
                <c:pt idx="96">
                  <c:v>94.970945892464243</c:v>
                </c:pt>
                <c:pt idx="97">
                  <c:v>94.9798604234918</c:v>
                </c:pt>
                <c:pt idx="98">
                  <c:v>94.988558464354838</c:v>
                </c:pt>
                <c:pt idx="99">
                  <c:v>94.997046507826482</c:v>
                </c:pt>
                <c:pt idx="100">
                  <c:v>95.005330789696046</c:v>
                </c:pt>
                <c:pt idx="101">
                  <c:v>95.013417301358842</c:v>
                </c:pt>
                <c:pt idx="102">
                  <c:v>95.021311801672809</c:v>
                </c:pt>
                <c:pt idx="103">
                  <c:v>95.029019828131567</c:v>
                </c:pt>
                <c:pt idx="104">
                  <c:v>95.036546707399651</c:v>
                </c:pt>
                <c:pt idx="105">
                  <c:v>95.043897565251243</c:v>
                </c:pt>
                <c:pt idx="106">
                  <c:v>95.051077335952428</c:v>
                </c:pt>
                <c:pt idx="107">
                  <c:v>95.058090771122153</c:v>
                </c:pt>
                <c:pt idx="108">
                  <c:v>95.064942448105882</c:v>
                </c:pt>
                <c:pt idx="109">
                  <c:v>95.071636777892678</c:v>
                </c:pt>
                <c:pt idx="110">
                  <c:v>95.078178012604624</c:v>
                </c:pt>
                <c:pt idx="111">
                  <c:v>95.084570252585237</c:v>
                </c:pt>
                <c:pt idx="112">
                  <c:v>95.09081745311164</c:v>
                </c:pt>
                <c:pt idx="113">
                  <c:v>95.096923430753691</c:v>
                </c:pt>
                <c:pt idx="114">
                  <c:v>95.102891869401645</c:v>
                </c:pt>
                <c:pt idx="115">
                  <c:v>95.108726325981948</c:v>
                </c:pt>
                <c:pt idx="116">
                  <c:v>95.114430235880263</c:v>
                </c:pt>
                <c:pt idx="117">
                  <c:v>95.120006918088833</c:v>
                </c:pt>
                <c:pt idx="118">
                  <c:v>95.125459580094414</c:v>
                </c:pt>
                <c:pt idx="119">
                  <c:v>95.130791322521986</c:v>
                </c:pt>
                <c:pt idx="120">
                  <c:v>95.136005143548303</c:v>
                </c:pt>
                <c:pt idx="121">
                  <c:v>95.141103943098415</c:v>
                </c:pt>
                <c:pt idx="122">
                  <c:v>95.146090526837796</c:v>
                </c:pt>
                <c:pt idx="123">
                  <c:v>95.150967609971104</c:v>
                </c:pt>
                <c:pt idx="124">
                  <c:v>95.155737820858903</c:v>
                </c:pt>
                <c:pt idx="125">
                  <c:v>95.160403704462169</c:v>
                </c:pt>
                <c:pt idx="126">
                  <c:v>95.164967725624237</c:v>
                </c:pt>
                <c:pt idx="127">
                  <c:v>95.169432272198733</c:v>
                </c:pt>
                <c:pt idx="128">
                  <c:v>95.173799658032422</c:v>
                </c:pt>
                <c:pt idx="129">
                  <c:v>95.178072125810161</c:v>
                </c:pt>
                <c:pt idx="130">
                  <c:v>95.182251849769813</c:v>
                </c:pt>
                <c:pt idx="131">
                  <c:v>95.186340938293696</c:v>
                </c:pt>
                <c:pt idx="132">
                  <c:v>95.190341436383207</c:v>
                </c:pt>
                <c:pt idx="133">
                  <c:v>95.194255328022763</c:v>
                </c:pt>
                <c:pt idx="134">
                  <c:v>95.198084538438536</c:v>
                </c:pt>
                <c:pt idx="135">
                  <c:v>95.201830936257878</c:v>
                </c:pt>
                <c:pt idx="136">
                  <c:v>95.205496335573898</c:v>
                </c:pt>
                <c:pt idx="137">
                  <c:v>95.209082497920534</c:v>
                </c:pt>
                <c:pt idx="138">
                  <c:v>95.212591134162366</c:v>
                </c:pt>
                <c:pt idx="139">
                  <c:v>95.216023906303334</c:v>
                </c:pt>
                <c:pt idx="140">
                  <c:v>95.219382429218811</c:v>
                </c:pt>
                <c:pt idx="141">
                  <c:v>95.222668272314138</c:v>
                </c:pt>
                <c:pt idx="142">
                  <c:v>95.225882961113953</c:v>
                </c:pt>
                <c:pt idx="143">
                  <c:v>95.229027978785126</c:v>
                </c:pt>
                <c:pt idx="144">
                  <c:v>95.232104767596738</c:v>
                </c:pt>
                <c:pt idx="145">
                  <c:v>95.235114730320149</c:v>
                </c:pt>
                <c:pt idx="146">
                  <c:v>95.238059231571853</c:v>
                </c:pt>
                <c:pt idx="147">
                  <c:v>95.240939599101964</c:v>
                </c:pt>
                <c:pt idx="148">
                  <c:v>95.243757125030896</c:v>
                </c:pt>
                <c:pt idx="149">
                  <c:v>95.24651306703646</c:v>
                </c:pt>
                <c:pt idx="150">
                  <c:v>95.249208649493909</c:v>
                </c:pt>
              </c:numCache>
            </c:numRef>
          </c:yVal>
          <c:smooth val="0"/>
          <c:extLst>
            <c:ext xmlns:c16="http://schemas.microsoft.com/office/drawing/2014/chart" uri="{C3380CC4-5D6E-409C-BE32-E72D297353CC}">
              <c16:uniqueId val="{00000000-8AEF-4CD2-9E91-5056CF00EB36}"/>
            </c:ext>
          </c:extLst>
        </c:ser>
        <c:dLbls>
          <c:showLegendKey val="0"/>
          <c:showVal val="0"/>
          <c:showCatName val="0"/>
          <c:showSerName val="0"/>
          <c:showPercent val="0"/>
          <c:showBubbleSize val="0"/>
        </c:dLbls>
        <c:axId val="145036800"/>
        <c:axId val="145038336"/>
      </c:scatterChart>
      <c:scatterChart>
        <c:scatterStyle val="smoothMarker"/>
        <c:varyColors val="0"/>
        <c:ser>
          <c:idx val="1"/>
          <c:order val="1"/>
          <c:tx>
            <c:v>MOSFET</c:v>
          </c:tx>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Eff_vs_IOUT!$AI$7:$AI$157</c:f>
              <c:numCache>
                <c:formatCode>General</c:formatCode>
                <c:ptCount val="151"/>
                <c:pt idx="0">
                  <c:v>0</c:v>
                </c:pt>
                <c:pt idx="1">
                  <c:v>8.0984311314242444E-3</c:v>
                </c:pt>
                <c:pt idx="2">
                  <c:v>1.6198362205074712E-2</c:v>
                </c:pt>
                <c:pt idx="3">
                  <c:v>2.4299269726837953E-2</c:v>
                </c:pt>
                <c:pt idx="4">
                  <c:v>3.2400966887427621E-2</c:v>
                </c:pt>
                <c:pt idx="5">
                  <c:v>4.0503345721392116E-2</c:v>
                </c:pt>
                <c:pt idx="6">
                  <c:v>4.8606333382108603E-2</c:v>
                </c:pt>
                <c:pt idx="7">
                  <c:v>5.6709876391018176E-2</c:v>
                </c:pt>
                <c:pt idx="8">
                  <c:v>6.4813933312665009E-2</c:v>
                </c:pt>
                <c:pt idx="9">
                  <c:v>7.2918470810606081E-2</c:v>
                </c:pt>
                <c:pt idx="10">
                  <c:v>8.1023461306685002E-2</c:v>
                </c:pt>
                <c:pt idx="11">
                  <c:v>8.9128881491162978E-2</c:v>
                </c:pt>
                <c:pt idx="12">
                  <c:v>9.723471132280459E-2</c:v>
                </c:pt>
                <c:pt idx="13">
                  <c:v>0.10534093332926026</c:v>
                </c:pt>
                <c:pt idx="14">
                  <c:v>0.11344753210081716</c:v>
                </c:pt>
                <c:pt idx="15">
                  <c:v>0.12155449391376118</c:v>
                </c:pt>
                <c:pt idx="16">
                  <c:v>0.1296618064435556</c:v>
                </c:pt>
                <c:pt idx="17">
                  <c:v>0.13776945854203296</c:v>
                </c:pt>
                <c:pt idx="18">
                  <c:v>0.14587744006132014</c:v>
                </c:pt>
                <c:pt idx="19">
                  <c:v>0.15398574171259816</c:v>
                </c:pt>
                <c:pt idx="20">
                  <c:v>0.16209435495130523</c:v>
                </c:pt>
                <c:pt idx="21">
                  <c:v>0.17020327188273807</c:v>
                </c:pt>
                <c:pt idx="22">
                  <c:v>0.17831248518361342</c:v>
                </c:pt>
                <c:pt idx="23">
                  <c:v>0.18642198803627991</c:v>
                </c:pt>
                <c:pt idx="24">
                  <c:v>0.19453177407307076</c:v>
                </c:pt>
                <c:pt idx="25">
                  <c:v>0.20264183732887214</c:v>
                </c:pt>
                <c:pt idx="26">
                  <c:v>0.21075217220040987</c:v>
                </c:pt>
                <c:pt idx="27">
                  <c:v>0.21886277341107907</c:v>
                </c:pt>
                <c:pt idx="28">
                  <c:v>0.22697363598038098</c:v>
                </c:pt>
                <c:pt idx="29">
                  <c:v>0.23513524410698075</c:v>
                </c:pt>
                <c:pt idx="30">
                  <c:v>0.24325047918843865</c:v>
                </c:pt>
                <c:pt idx="31">
                  <c:v>0.25136634527126844</c:v>
                </c:pt>
                <c:pt idx="32">
                  <c:v>0.25948284235546987</c:v>
                </c:pt>
                <c:pt idx="33">
                  <c:v>0.26759997044104306</c:v>
                </c:pt>
                <c:pt idx="34">
                  <c:v>0.27571772952798801</c:v>
                </c:pt>
                <c:pt idx="35">
                  <c:v>0.28383611961630467</c:v>
                </c:pt>
                <c:pt idx="36">
                  <c:v>0.2919551407059931</c:v>
                </c:pt>
                <c:pt idx="37">
                  <c:v>0.30007479279705329</c:v>
                </c:pt>
                <c:pt idx="38">
                  <c:v>0.30819507588948525</c:v>
                </c:pt>
                <c:pt idx="39">
                  <c:v>0.31631598998328886</c:v>
                </c:pt>
                <c:pt idx="40">
                  <c:v>0.32443753507846423</c:v>
                </c:pt>
                <c:pt idx="41">
                  <c:v>0.33255971117501137</c:v>
                </c:pt>
                <c:pt idx="42">
                  <c:v>0.34068251827293033</c:v>
                </c:pt>
                <c:pt idx="43">
                  <c:v>0.34880595637222089</c:v>
                </c:pt>
                <c:pt idx="44">
                  <c:v>0.35693002547288333</c:v>
                </c:pt>
                <c:pt idx="45">
                  <c:v>0.36505472557491747</c:v>
                </c:pt>
                <c:pt idx="46">
                  <c:v>0.37318005667832327</c:v>
                </c:pt>
                <c:pt idx="47">
                  <c:v>0.38130601878310078</c:v>
                </c:pt>
                <c:pt idx="48">
                  <c:v>0.38943261188925021</c:v>
                </c:pt>
                <c:pt idx="49">
                  <c:v>0.39755983599677125</c:v>
                </c:pt>
                <c:pt idx="50">
                  <c:v>0.40568769110566416</c:v>
                </c:pt>
                <c:pt idx="51">
                  <c:v>0.41381617721592867</c:v>
                </c:pt>
                <c:pt idx="52">
                  <c:v>0.42194529432756489</c:v>
                </c:pt>
                <c:pt idx="53">
                  <c:v>0.43007504244057293</c:v>
                </c:pt>
                <c:pt idx="54">
                  <c:v>0.43820542155495279</c:v>
                </c:pt>
                <c:pt idx="55">
                  <c:v>0.44633643167070425</c:v>
                </c:pt>
                <c:pt idx="56">
                  <c:v>0.45446807278782758</c:v>
                </c:pt>
                <c:pt idx="57">
                  <c:v>0.46260034490632257</c:v>
                </c:pt>
                <c:pt idx="58">
                  <c:v>0.47073324802618943</c:v>
                </c:pt>
                <c:pt idx="59">
                  <c:v>0.47886678214742784</c:v>
                </c:pt>
                <c:pt idx="60">
                  <c:v>0.48700094727003801</c:v>
                </c:pt>
                <c:pt idx="61">
                  <c:v>0.49513574339402011</c:v>
                </c:pt>
                <c:pt idx="62">
                  <c:v>0.50327117051937387</c:v>
                </c:pt>
                <c:pt idx="63">
                  <c:v>0.51140722864609922</c:v>
                </c:pt>
                <c:pt idx="64">
                  <c:v>0.51954391777419651</c:v>
                </c:pt>
                <c:pt idx="65">
                  <c:v>0.5276812379036655</c:v>
                </c:pt>
                <c:pt idx="66">
                  <c:v>0.53581918903450609</c:v>
                </c:pt>
                <c:pt idx="67">
                  <c:v>0.54395777116671862</c:v>
                </c:pt>
                <c:pt idx="68">
                  <c:v>0.55209698430030274</c:v>
                </c:pt>
                <c:pt idx="69">
                  <c:v>0.56023682843525868</c:v>
                </c:pt>
                <c:pt idx="70">
                  <c:v>0.56837730357158633</c:v>
                </c:pt>
                <c:pt idx="71">
                  <c:v>0.5765184097092857</c:v>
                </c:pt>
                <c:pt idx="72">
                  <c:v>0.58466014684835688</c:v>
                </c:pt>
                <c:pt idx="73">
                  <c:v>0.59280251498879988</c:v>
                </c:pt>
                <c:pt idx="74">
                  <c:v>0.60094551413061437</c:v>
                </c:pt>
                <c:pt idx="75">
                  <c:v>0.60908914427380068</c:v>
                </c:pt>
                <c:pt idx="76">
                  <c:v>0.61723340541835892</c:v>
                </c:pt>
                <c:pt idx="77">
                  <c:v>0.62537829756428864</c:v>
                </c:pt>
                <c:pt idx="78">
                  <c:v>0.6335238207115903</c:v>
                </c:pt>
                <c:pt idx="79">
                  <c:v>0.64166997486026378</c:v>
                </c:pt>
                <c:pt idx="80">
                  <c:v>0.64981676001030875</c:v>
                </c:pt>
                <c:pt idx="81">
                  <c:v>0.65796417616172576</c:v>
                </c:pt>
                <c:pt idx="82">
                  <c:v>0.66611222331451414</c:v>
                </c:pt>
                <c:pt idx="83">
                  <c:v>0.67426090146867446</c:v>
                </c:pt>
                <c:pt idx="84">
                  <c:v>0.68241021062420659</c:v>
                </c:pt>
                <c:pt idx="85">
                  <c:v>0.69056015078111022</c:v>
                </c:pt>
                <c:pt idx="86">
                  <c:v>0.69871072193938577</c:v>
                </c:pt>
                <c:pt idx="87">
                  <c:v>0.70686192409903315</c:v>
                </c:pt>
                <c:pt idx="88">
                  <c:v>0.71501375726005223</c:v>
                </c:pt>
                <c:pt idx="89">
                  <c:v>0.72316622142244291</c:v>
                </c:pt>
                <c:pt idx="90">
                  <c:v>0.73131931658620553</c:v>
                </c:pt>
                <c:pt idx="91">
                  <c:v>0.73947304275133963</c:v>
                </c:pt>
                <c:pt idx="92">
                  <c:v>0.74762739991784566</c:v>
                </c:pt>
                <c:pt idx="93">
                  <c:v>0.7557823880857234</c:v>
                </c:pt>
                <c:pt idx="94">
                  <c:v>0.76393800725497274</c:v>
                </c:pt>
                <c:pt idx="95">
                  <c:v>0.77209425742559412</c:v>
                </c:pt>
                <c:pt idx="96">
                  <c:v>0.7802511385975871</c:v>
                </c:pt>
                <c:pt idx="97">
                  <c:v>0.78840865077095168</c:v>
                </c:pt>
                <c:pt idx="98">
                  <c:v>0.79656679394568819</c:v>
                </c:pt>
                <c:pt idx="99">
                  <c:v>0.80472556812179641</c:v>
                </c:pt>
                <c:pt idx="100">
                  <c:v>0.81288497329927645</c:v>
                </c:pt>
                <c:pt idx="101">
                  <c:v>0.82104500947812786</c:v>
                </c:pt>
                <c:pt idx="102">
                  <c:v>0.82920567665835143</c:v>
                </c:pt>
                <c:pt idx="103">
                  <c:v>0.83736697483994638</c:v>
                </c:pt>
                <c:pt idx="104">
                  <c:v>0.84552890402291325</c:v>
                </c:pt>
                <c:pt idx="105">
                  <c:v>0.85369146420725217</c:v>
                </c:pt>
                <c:pt idx="106">
                  <c:v>0.86185465539296235</c:v>
                </c:pt>
                <c:pt idx="107">
                  <c:v>0.87001847758004458</c:v>
                </c:pt>
                <c:pt idx="108">
                  <c:v>0.8781829307684984</c:v>
                </c:pt>
                <c:pt idx="109">
                  <c:v>0.88634801495832405</c:v>
                </c:pt>
                <c:pt idx="110">
                  <c:v>0.89451373014952129</c:v>
                </c:pt>
                <c:pt idx="111">
                  <c:v>0.90268007634209046</c:v>
                </c:pt>
                <c:pt idx="112">
                  <c:v>0.91084705353603124</c:v>
                </c:pt>
                <c:pt idx="113">
                  <c:v>0.91901466173134383</c:v>
                </c:pt>
                <c:pt idx="114">
                  <c:v>0.92718290092802813</c:v>
                </c:pt>
                <c:pt idx="115">
                  <c:v>0.93535177112608403</c:v>
                </c:pt>
                <c:pt idx="116">
                  <c:v>0.94352127232551219</c:v>
                </c:pt>
                <c:pt idx="117">
                  <c:v>0.95169140452631151</c:v>
                </c:pt>
                <c:pt idx="118">
                  <c:v>0.95986216772848287</c:v>
                </c:pt>
                <c:pt idx="119">
                  <c:v>0.96803356193202594</c:v>
                </c:pt>
                <c:pt idx="120">
                  <c:v>0.9762055871369405</c:v>
                </c:pt>
                <c:pt idx="121">
                  <c:v>0.98437824334322721</c:v>
                </c:pt>
                <c:pt idx="122">
                  <c:v>0.99255153055088552</c:v>
                </c:pt>
                <c:pt idx="123">
                  <c:v>1.0007254487599153</c:v>
                </c:pt>
                <c:pt idx="124">
                  <c:v>1.0088999979703173</c:v>
                </c:pt>
                <c:pt idx="125">
                  <c:v>1.0170751781820906</c:v>
                </c:pt>
                <c:pt idx="126">
                  <c:v>1.0252509893952357</c:v>
                </c:pt>
                <c:pt idx="127">
                  <c:v>1.0334274316097525</c:v>
                </c:pt>
                <c:pt idx="128">
                  <c:v>1.0416045048256415</c:v>
                </c:pt>
                <c:pt idx="129">
                  <c:v>1.0497822090429021</c:v>
                </c:pt>
                <c:pt idx="130">
                  <c:v>1.0579605442615343</c:v>
                </c:pt>
                <c:pt idx="131">
                  <c:v>1.0661395104815381</c:v>
                </c:pt>
                <c:pt idx="132">
                  <c:v>1.0743191077029137</c:v>
                </c:pt>
                <c:pt idx="133">
                  <c:v>1.0824993359256612</c:v>
                </c:pt>
                <c:pt idx="134">
                  <c:v>1.0906801951497804</c:v>
                </c:pt>
                <c:pt idx="135">
                  <c:v>1.0988616853752711</c:v>
                </c:pt>
                <c:pt idx="136">
                  <c:v>1.1070438066021338</c:v>
                </c:pt>
                <c:pt idx="137">
                  <c:v>1.1152265588303683</c:v>
                </c:pt>
                <c:pt idx="138">
                  <c:v>1.1234099420599744</c:v>
                </c:pt>
                <c:pt idx="139">
                  <c:v>1.1315939562909525</c:v>
                </c:pt>
                <c:pt idx="140">
                  <c:v>1.1397786015233018</c:v>
                </c:pt>
                <c:pt idx="141">
                  <c:v>1.1479638777570231</c:v>
                </c:pt>
                <c:pt idx="142">
                  <c:v>1.1561497849921163</c:v>
                </c:pt>
                <c:pt idx="143">
                  <c:v>1.1643363232285813</c:v>
                </c:pt>
                <c:pt idx="144">
                  <c:v>1.1725234924664176</c:v>
                </c:pt>
                <c:pt idx="145">
                  <c:v>1.180711292705626</c:v>
                </c:pt>
                <c:pt idx="146">
                  <c:v>1.1888997239462062</c:v>
                </c:pt>
                <c:pt idx="147">
                  <c:v>1.1970887861881578</c:v>
                </c:pt>
                <c:pt idx="148">
                  <c:v>1.2052784794314815</c:v>
                </c:pt>
                <c:pt idx="149">
                  <c:v>1.2134688036761767</c:v>
                </c:pt>
                <c:pt idx="150">
                  <c:v>1.2216597589222438</c:v>
                </c:pt>
              </c:numCache>
            </c:numRef>
          </c:yVal>
          <c:smooth val="1"/>
          <c:extLst>
            <c:ext xmlns:c16="http://schemas.microsoft.com/office/drawing/2014/chart" uri="{C3380CC4-5D6E-409C-BE32-E72D297353CC}">
              <c16:uniqueId val="{00000001-8AEF-4CD2-9E91-5056CF00EB36}"/>
            </c:ext>
          </c:extLst>
        </c:ser>
        <c:ser>
          <c:idx val="2"/>
          <c:order val="2"/>
          <c:tx>
            <c:v>Diode</c:v>
          </c:tx>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Eff_vs_IOUT!$AN$7:$AN$157</c:f>
              <c:numCache>
                <c:formatCode>General</c:formatCode>
                <c:ptCount val="151"/>
                <c:pt idx="0">
                  <c:v>0.22935</c:v>
                </c:pt>
                <c:pt idx="1">
                  <c:v>0.23708333333333334</c:v>
                </c:pt>
                <c:pt idx="2">
                  <c:v>0.24481666666666665</c:v>
                </c:pt>
                <c:pt idx="3">
                  <c:v>0.25255</c:v>
                </c:pt>
                <c:pt idx="4">
                  <c:v>0.26028333333333331</c:v>
                </c:pt>
                <c:pt idx="5">
                  <c:v>0.26801666666666668</c:v>
                </c:pt>
                <c:pt idx="6">
                  <c:v>0.27575</c:v>
                </c:pt>
                <c:pt idx="7">
                  <c:v>0.28348333333333331</c:v>
                </c:pt>
                <c:pt idx="8">
                  <c:v>0.29121666666666668</c:v>
                </c:pt>
                <c:pt idx="9">
                  <c:v>0.29894999999999999</c:v>
                </c:pt>
                <c:pt idx="10">
                  <c:v>0.30668333333333331</c:v>
                </c:pt>
                <c:pt idx="11">
                  <c:v>0.31441666666666668</c:v>
                </c:pt>
                <c:pt idx="12">
                  <c:v>0.32214999999999999</c:v>
                </c:pt>
                <c:pt idx="13">
                  <c:v>0.32988333333333331</c:v>
                </c:pt>
                <c:pt idx="14">
                  <c:v>0.33761666666666668</c:v>
                </c:pt>
                <c:pt idx="15">
                  <c:v>0.34534999999999999</c:v>
                </c:pt>
                <c:pt idx="16">
                  <c:v>0.3530833333333333</c:v>
                </c:pt>
                <c:pt idx="17">
                  <c:v>0.36081666666666667</c:v>
                </c:pt>
                <c:pt idx="18">
                  <c:v>0.36854999999999999</c:v>
                </c:pt>
                <c:pt idx="19">
                  <c:v>0.3762833333333333</c:v>
                </c:pt>
                <c:pt idx="20">
                  <c:v>0.38401666666666667</c:v>
                </c:pt>
                <c:pt idx="21">
                  <c:v>0.39175000000000004</c:v>
                </c:pt>
                <c:pt idx="22">
                  <c:v>0.3994833333333333</c:v>
                </c:pt>
                <c:pt idx="23">
                  <c:v>0.40721666666666667</c:v>
                </c:pt>
                <c:pt idx="24">
                  <c:v>0.41494999999999999</c:v>
                </c:pt>
                <c:pt idx="25">
                  <c:v>0.4226833333333333</c:v>
                </c:pt>
                <c:pt idx="26">
                  <c:v>0.43041666666666667</c:v>
                </c:pt>
                <c:pt idx="27">
                  <c:v>0.43815000000000004</c:v>
                </c:pt>
                <c:pt idx="28">
                  <c:v>0.4458833333333333</c:v>
                </c:pt>
                <c:pt idx="29">
                  <c:v>0.45361666666666667</c:v>
                </c:pt>
                <c:pt idx="30">
                  <c:v>0.46134999999999998</c:v>
                </c:pt>
                <c:pt idx="31">
                  <c:v>0.46908333333333335</c:v>
                </c:pt>
                <c:pt idx="32">
                  <c:v>0.47681666666666667</c:v>
                </c:pt>
                <c:pt idx="33">
                  <c:v>0.48454999999999998</c:v>
                </c:pt>
                <c:pt idx="34">
                  <c:v>0.49228333333333335</c:v>
                </c:pt>
                <c:pt idx="35">
                  <c:v>0.50001666666666666</c:v>
                </c:pt>
                <c:pt idx="36">
                  <c:v>0.50774999999999992</c:v>
                </c:pt>
                <c:pt idx="37">
                  <c:v>0.51548333333333329</c:v>
                </c:pt>
                <c:pt idx="38">
                  <c:v>0.52321666666666666</c:v>
                </c:pt>
                <c:pt idx="39">
                  <c:v>0.53095000000000003</c:v>
                </c:pt>
                <c:pt idx="40">
                  <c:v>0.53868333333333329</c:v>
                </c:pt>
                <c:pt idx="41">
                  <c:v>0.54641666666666666</c:v>
                </c:pt>
                <c:pt idx="42">
                  <c:v>0.55415000000000003</c:v>
                </c:pt>
                <c:pt idx="43">
                  <c:v>0.56188333333333329</c:v>
                </c:pt>
                <c:pt idx="44">
                  <c:v>0.56961666666666666</c:v>
                </c:pt>
                <c:pt idx="45">
                  <c:v>0.57735000000000003</c:v>
                </c:pt>
                <c:pt idx="46">
                  <c:v>0.5850833333333334</c:v>
                </c:pt>
                <c:pt idx="47">
                  <c:v>0.59281666666666666</c:v>
                </c:pt>
                <c:pt idx="48">
                  <c:v>0.60054999999999992</c:v>
                </c:pt>
                <c:pt idx="49">
                  <c:v>0.60828333333333329</c:v>
                </c:pt>
                <c:pt idx="50">
                  <c:v>0.61601666666666666</c:v>
                </c:pt>
                <c:pt idx="51">
                  <c:v>0.62375000000000003</c:v>
                </c:pt>
                <c:pt idx="52">
                  <c:v>0.6314833333333334</c:v>
                </c:pt>
                <c:pt idx="53">
                  <c:v>0.63921666666666666</c:v>
                </c:pt>
                <c:pt idx="54">
                  <c:v>0.64695000000000003</c:v>
                </c:pt>
                <c:pt idx="55">
                  <c:v>0.65468333333333328</c:v>
                </c:pt>
                <c:pt idx="56">
                  <c:v>0.66241666666666665</c:v>
                </c:pt>
                <c:pt idx="57">
                  <c:v>0.67015000000000002</c:v>
                </c:pt>
                <c:pt idx="58">
                  <c:v>0.67788333333333339</c:v>
                </c:pt>
                <c:pt idx="59">
                  <c:v>0.68561666666666665</c:v>
                </c:pt>
                <c:pt idx="60">
                  <c:v>0.69334999999999991</c:v>
                </c:pt>
                <c:pt idx="61">
                  <c:v>0.70108333333333328</c:v>
                </c:pt>
                <c:pt idx="62">
                  <c:v>0.70881666666666665</c:v>
                </c:pt>
                <c:pt idx="63">
                  <c:v>0.71655000000000002</c:v>
                </c:pt>
                <c:pt idx="64">
                  <c:v>0.72428333333333339</c:v>
                </c:pt>
                <c:pt idx="65">
                  <c:v>0.73201666666666654</c:v>
                </c:pt>
                <c:pt idx="66">
                  <c:v>0.73974999999999991</c:v>
                </c:pt>
                <c:pt idx="67">
                  <c:v>0.74748333333333328</c:v>
                </c:pt>
                <c:pt idx="68">
                  <c:v>0.75521666666666665</c:v>
                </c:pt>
                <c:pt idx="69">
                  <c:v>0.76295000000000002</c:v>
                </c:pt>
                <c:pt idx="70">
                  <c:v>0.77068333333333339</c:v>
                </c:pt>
                <c:pt idx="71">
                  <c:v>0.77841666666666676</c:v>
                </c:pt>
                <c:pt idx="72">
                  <c:v>0.7861499999999999</c:v>
                </c:pt>
                <c:pt idx="73">
                  <c:v>0.79388333333333327</c:v>
                </c:pt>
                <c:pt idx="74">
                  <c:v>0.80161666666666664</c:v>
                </c:pt>
                <c:pt idx="75">
                  <c:v>0.80935000000000001</c:v>
                </c:pt>
                <c:pt idx="76">
                  <c:v>0.81708333333333338</c:v>
                </c:pt>
                <c:pt idx="77">
                  <c:v>0.82481666666666675</c:v>
                </c:pt>
                <c:pt idx="78">
                  <c:v>0.8325499999999999</c:v>
                </c:pt>
                <c:pt idx="79">
                  <c:v>0.84028333333333327</c:v>
                </c:pt>
                <c:pt idx="80">
                  <c:v>0.84801666666666664</c:v>
                </c:pt>
                <c:pt idx="81">
                  <c:v>0.85575000000000001</c:v>
                </c:pt>
                <c:pt idx="82">
                  <c:v>0.86348333333333338</c:v>
                </c:pt>
                <c:pt idx="83">
                  <c:v>0.87121666666666653</c:v>
                </c:pt>
                <c:pt idx="84">
                  <c:v>0.87895000000000012</c:v>
                </c:pt>
                <c:pt idx="85">
                  <c:v>0.88668333333333327</c:v>
                </c:pt>
                <c:pt idx="86">
                  <c:v>0.89441666666666664</c:v>
                </c:pt>
                <c:pt idx="87">
                  <c:v>0.90215000000000001</c:v>
                </c:pt>
                <c:pt idx="88">
                  <c:v>0.90988333333333338</c:v>
                </c:pt>
                <c:pt idx="89">
                  <c:v>0.91761666666666675</c:v>
                </c:pt>
                <c:pt idx="90">
                  <c:v>0.92535000000000012</c:v>
                </c:pt>
                <c:pt idx="91">
                  <c:v>0.93308333333333326</c:v>
                </c:pt>
                <c:pt idx="92">
                  <c:v>0.94081666666666663</c:v>
                </c:pt>
                <c:pt idx="93">
                  <c:v>0.94855</c:v>
                </c:pt>
                <c:pt idx="94">
                  <c:v>0.95628333333333337</c:v>
                </c:pt>
                <c:pt idx="95">
                  <c:v>0.96401666666666674</c:v>
                </c:pt>
                <c:pt idx="96">
                  <c:v>0.97174999999999989</c:v>
                </c:pt>
                <c:pt idx="97">
                  <c:v>0.97948333333333326</c:v>
                </c:pt>
                <c:pt idx="98">
                  <c:v>0.98721666666666663</c:v>
                </c:pt>
                <c:pt idx="99">
                  <c:v>0.99495</c:v>
                </c:pt>
                <c:pt idx="100">
                  <c:v>1.0026833333333334</c:v>
                </c:pt>
                <c:pt idx="101">
                  <c:v>1.0104166666666665</c:v>
                </c:pt>
                <c:pt idx="102">
                  <c:v>1.0181500000000001</c:v>
                </c:pt>
                <c:pt idx="103">
                  <c:v>1.0258833333333335</c:v>
                </c:pt>
                <c:pt idx="104">
                  <c:v>1.0336166666666666</c:v>
                </c:pt>
                <c:pt idx="105">
                  <c:v>1.04135</c:v>
                </c:pt>
                <c:pt idx="106">
                  <c:v>1.0490833333333334</c:v>
                </c:pt>
                <c:pt idx="107">
                  <c:v>1.0568166666666667</c:v>
                </c:pt>
                <c:pt idx="108">
                  <c:v>1.0645500000000001</c:v>
                </c:pt>
                <c:pt idx="109">
                  <c:v>1.0722833333333333</c:v>
                </c:pt>
                <c:pt idx="110">
                  <c:v>1.0800166666666666</c:v>
                </c:pt>
                <c:pt idx="111">
                  <c:v>1.08775</c:v>
                </c:pt>
                <c:pt idx="112">
                  <c:v>1.0954833333333334</c:v>
                </c:pt>
                <c:pt idx="113">
                  <c:v>1.1032166666666667</c:v>
                </c:pt>
                <c:pt idx="114">
                  <c:v>1.1109499999999999</c:v>
                </c:pt>
                <c:pt idx="115">
                  <c:v>1.1186833333333333</c:v>
                </c:pt>
                <c:pt idx="116">
                  <c:v>1.1264166666666666</c:v>
                </c:pt>
                <c:pt idx="117">
                  <c:v>1.13415</c:v>
                </c:pt>
                <c:pt idx="118">
                  <c:v>1.1418833333333334</c:v>
                </c:pt>
                <c:pt idx="119">
                  <c:v>1.1496166666666665</c:v>
                </c:pt>
                <c:pt idx="120">
                  <c:v>1.1573499999999999</c:v>
                </c:pt>
                <c:pt idx="121">
                  <c:v>1.1650833333333335</c:v>
                </c:pt>
                <c:pt idx="122">
                  <c:v>1.1728166666666666</c:v>
                </c:pt>
                <c:pt idx="123">
                  <c:v>1.18055</c:v>
                </c:pt>
                <c:pt idx="124">
                  <c:v>1.1882833333333334</c:v>
                </c:pt>
                <c:pt idx="125">
                  <c:v>1.1960166666666667</c:v>
                </c:pt>
                <c:pt idx="126">
                  <c:v>1.2037500000000001</c:v>
                </c:pt>
                <c:pt idx="127">
                  <c:v>1.2114833333333332</c:v>
                </c:pt>
                <c:pt idx="128">
                  <c:v>1.2192166666666666</c:v>
                </c:pt>
                <c:pt idx="129">
                  <c:v>1.22695</c:v>
                </c:pt>
                <c:pt idx="130">
                  <c:v>1.2346833333333331</c:v>
                </c:pt>
                <c:pt idx="131">
                  <c:v>1.2424166666666667</c:v>
                </c:pt>
                <c:pt idx="132">
                  <c:v>1.2501499999999999</c:v>
                </c:pt>
                <c:pt idx="133">
                  <c:v>1.2578833333333332</c:v>
                </c:pt>
                <c:pt idx="134">
                  <c:v>1.2656166666666666</c:v>
                </c:pt>
                <c:pt idx="135">
                  <c:v>1.27335</c:v>
                </c:pt>
                <c:pt idx="136">
                  <c:v>1.2810833333333334</c:v>
                </c:pt>
                <c:pt idx="137">
                  <c:v>1.2888166666666667</c:v>
                </c:pt>
                <c:pt idx="138">
                  <c:v>1.2965499999999999</c:v>
                </c:pt>
                <c:pt idx="139">
                  <c:v>1.3042833333333332</c:v>
                </c:pt>
                <c:pt idx="140">
                  <c:v>1.3120166666666666</c:v>
                </c:pt>
                <c:pt idx="141">
                  <c:v>1.31975</c:v>
                </c:pt>
                <c:pt idx="142">
                  <c:v>1.3274833333333333</c:v>
                </c:pt>
                <c:pt idx="143">
                  <c:v>1.3352166666666665</c:v>
                </c:pt>
                <c:pt idx="144">
                  <c:v>1.3429499999999999</c:v>
                </c:pt>
                <c:pt idx="145">
                  <c:v>1.3506833333333332</c:v>
                </c:pt>
                <c:pt idx="146">
                  <c:v>1.3584166666666666</c:v>
                </c:pt>
                <c:pt idx="147">
                  <c:v>1.36615</c:v>
                </c:pt>
                <c:pt idx="148">
                  <c:v>1.3738833333333331</c:v>
                </c:pt>
                <c:pt idx="149">
                  <c:v>1.3816166666666667</c:v>
                </c:pt>
                <c:pt idx="150">
                  <c:v>1.3893499999999999</c:v>
                </c:pt>
              </c:numCache>
            </c:numRef>
          </c:yVal>
          <c:smooth val="1"/>
          <c:extLst>
            <c:ext xmlns:c16="http://schemas.microsoft.com/office/drawing/2014/chart" uri="{C3380CC4-5D6E-409C-BE32-E72D297353CC}">
              <c16:uniqueId val="{00000002-8AEF-4CD2-9E91-5056CF00EB36}"/>
            </c:ext>
          </c:extLst>
        </c:ser>
        <c:ser>
          <c:idx val="3"/>
          <c:order val="3"/>
          <c:tx>
            <c:v>RCS</c:v>
          </c:tx>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Eff_vs_IOUT!$AO$7:$AO$157</c:f>
              <c:numCache>
                <c:formatCode>General</c:formatCode>
                <c:ptCount val="151"/>
                <c:pt idx="0">
                  <c:v>0</c:v>
                </c:pt>
                <c:pt idx="1">
                  <c:v>3.9360661579559786E-6</c:v>
                </c:pt>
                <c:pt idx="2">
                  <c:v>1.113287628595821E-5</c:v>
                </c:pt>
                <c:pt idx="3">
                  <c:v>2.0452399702596552E-5</c:v>
                </c:pt>
                <c:pt idx="4">
                  <c:v>3.1488529263647829E-5</c:v>
                </c:pt>
                <c:pt idx="5">
                  <c:v>4.4006557465629971E-5</c:v>
                </c:pt>
                <c:pt idx="6">
                  <c:v>5.7848122084974975E-5</c:v>
                </c:pt>
                <c:pt idx="7">
                  <c:v>7.2896965384942981E-5</c:v>
                </c:pt>
                <c:pt idx="8">
                  <c:v>8.9063010287665682E-5</c:v>
                </c:pt>
                <c:pt idx="9">
                  <c:v>1.0627378626481143E-4</c:v>
                </c:pt>
                <c:pt idx="10">
                  <c:v>1.2446934080248982E-4</c:v>
                </c:pt>
                <c:pt idx="11">
                  <c:v>1.4359900055551308E-4</c:v>
                </c:pt>
                <c:pt idx="12">
                  <c:v>1.6361919762077239E-4</c:v>
                </c:pt>
                <c:pt idx="13">
                  <c:v>1.8449194862967485E-4</c:v>
                </c:pt>
                <c:pt idx="14">
                  <c:v>2.0618375420645686E-4</c:v>
                </c:pt>
                <c:pt idx="15">
                  <c:v>2.2866478019001194E-4</c:v>
                </c:pt>
                <c:pt idx="16">
                  <c:v>2.5190823410918263E-4</c:v>
                </c:pt>
                <c:pt idx="17">
                  <c:v>2.7588988081741708E-4</c:v>
                </c:pt>
                <c:pt idx="18">
                  <c:v>3.005876597208719E-4</c:v>
                </c:pt>
                <c:pt idx="19">
                  <c:v>3.2598137773479004E-4</c:v>
                </c:pt>
                <c:pt idx="20">
                  <c:v>3.5205245972503983E-4</c:v>
                </c:pt>
                <c:pt idx="21">
                  <c:v>3.7878374329293306E-4</c:v>
                </c:pt>
                <c:pt idx="22">
                  <c:v>4.0615930825765645E-4</c:v>
                </c:pt>
                <c:pt idx="23">
                  <c:v>4.341643336379022E-4</c:v>
                </c:pt>
                <c:pt idx="24">
                  <c:v>4.6278497667979985E-4</c:v>
                </c:pt>
                <c:pt idx="25">
                  <c:v>4.9200826974449773E-4</c:v>
                </c:pt>
                <c:pt idx="26">
                  <c:v>5.2182203180145277E-4</c:v>
                </c:pt>
                <c:pt idx="27">
                  <c:v>5.5221479197010677E-4</c:v>
                </c:pt>
                <c:pt idx="28">
                  <c:v>5.8317572307954374E-4</c:v>
                </c:pt>
                <c:pt idx="29">
                  <c:v>7.2445308309719461E-4</c:v>
                </c:pt>
                <c:pt idx="30">
                  <c:v>7.6491947541543843E-4</c:v>
                </c:pt>
                <c:pt idx="31">
                  <c:v>8.0675760984616539E-4</c:v>
                </c:pt>
                <c:pt idx="32">
                  <c:v>8.4996748638937515E-4</c:v>
                </c:pt>
                <c:pt idx="33">
                  <c:v>8.9454910504506793E-4</c:v>
                </c:pt>
                <c:pt idx="34">
                  <c:v>9.4050246581324373E-4</c:v>
                </c:pt>
                <c:pt idx="35">
                  <c:v>9.8782756869390223E-4</c:v>
                </c:pt>
                <c:pt idx="36">
                  <c:v>1.036524413687043E-3</c:v>
                </c:pt>
                <c:pt idx="37">
                  <c:v>1.0865930007926672E-3</c:v>
                </c:pt>
                <c:pt idx="38">
                  <c:v>1.1380333300107747E-3</c:v>
                </c:pt>
                <c:pt idx="39">
                  <c:v>1.1908454013413645E-3</c:v>
                </c:pt>
                <c:pt idx="40">
                  <c:v>1.2450292147844367E-3</c:v>
                </c:pt>
                <c:pt idx="41">
                  <c:v>1.3005847703399926E-3</c:v>
                </c:pt>
                <c:pt idx="42">
                  <c:v>1.357512068008031E-3</c:v>
                </c:pt>
                <c:pt idx="43">
                  <c:v>1.4158111077885514E-3</c:v>
                </c:pt>
                <c:pt idx="44">
                  <c:v>1.4754818896815563E-3</c:v>
                </c:pt>
                <c:pt idx="45">
                  <c:v>1.5365244136870439E-3</c:v>
                </c:pt>
                <c:pt idx="46">
                  <c:v>1.5989386798050122E-3</c:v>
                </c:pt>
                <c:pt idx="47">
                  <c:v>1.662724688035466E-3</c:v>
                </c:pt>
                <c:pt idx="48">
                  <c:v>1.7278824383784002E-3</c:v>
                </c:pt>
                <c:pt idx="49">
                  <c:v>1.7944119308338192E-3</c:v>
                </c:pt>
                <c:pt idx="50">
                  <c:v>1.8623131654017212E-3</c:v>
                </c:pt>
                <c:pt idx="51">
                  <c:v>1.9315861420821055E-3</c:v>
                </c:pt>
                <c:pt idx="52">
                  <c:v>2.0022308608749709E-3</c:v>
                </c:pt>
                <c:pt idx="53">
                  <c:v>2.0742473217803207E-3</c:v>
                </c:pt>
                <c:pt idx="54">
                  <c:v>2.1476355247981535E-3</c:v>
                </c:pt>
                <c:pt idx="55">
                  <c:v>2.2223954699284684E-3</c:v>
                </c:pt>
                <c:pt idx="56">
                  <c:v>2.2985271571712667E-3</c:v>
                </c:pt>
                <c:pt idx="57">
                  <c:v>2.3760305865265486E-3</c:v>
                </c:pt>
                <c:pt idx="58">
                  <c:v>2.4549057579943134E-3</c:v>
                </c:pt>
                <c:pt idx="59">
                  <c:v>2.5351526715745591E-3</c:v>
                </c:pt>
                <c:pt idx="60">
                  <c:v>2.6167713272672883E-3</c:v>
                </c:pt>
                <c:pt idx="61">
                  <c:v>2.6997617250725022E-3</c:v>
                </c:pt>
                <c:pt idx="62">
                  <c:v>2.7841238649901979E-3</c:v>
                </c:pt>
                <c:pt idx="63">
                  <c:v>2.8698577470203769E-3</c:v>
                </c:pt>
                <c:pt idx="64">
                  <c:v>2.956963371163036E-3</c:v>
                </c:pt>
                <c:pt idx="65">
                  <c:v>3.0454407374181807E-3</c:v>
                </c:pt>
                <c:pt idx="66">
                  <c:v>3.1352898457858076E-3</c:v>
                </c:pt>
                <c:pt idx="67">
                  <c:v>3.2265106962659183E-3</c:v>
                </c:pt>
                <c:pt idx="68">
                  <c:v>3.3191032888585099E-3</c:v>
                </c:pt>
                <c:pt idx="69">
                  <c:v>3.4130676235635845E-3</c:v>
                </c:pt>
                <c:pt idx="70">
                  <c:v>3.5084037003811431E-3</c:v>
                </c:pt>
                <c:pt idx="71">
                  <c:v>3.605111519311185E-3</c:v>
                </c:pt>
                <c:pt idx="72">
                  <c:v>3.7031910803537078E-3</c:v>
                </c:pt>
                <c:pt idx="73">
                  <c:v>3.8026423835087158E-3</c:v>
                </c:pt>
                <c:pt idx="74">
                  <c:v>3.9034654287762043E-3</c:v>
                </c:pt>
                <c:pt idx="75">
                  <c:v>4.0056602161561775E-3</c:v>
                </c:pt>
                <c:pt idx="76">
                  <c:v>4.1092267456486328E-3</c:v>
                </c:pt>
                <c:pt idx="77">
                  <c:v>4.2141650172535725E-3</c:v>
                </c:pt>
                <c:pt idx="78">
                  <c:v>4.3204750309709921E-3</c:v>
                </c:pt>
                <c:pt idx="79">
                  <c:v>4.4281567868008969E-3</c:v>
                </c:pt>
                <c:pt idx="80">
                  <c:v>4.5372102847432818E-3</c:v>
                </c:pt>
                <c:pt idx="81">
                  <c:v>4.6476355247981552E-3</c:v>
                </c:pt>
                <c:pt idx="82">
                  <c:v>4.7594325069655061E-3</c:v>
                </c:pt>
                <c:pt idx="83">
                  <c:v>4.8726012312453413E-3</c:v>
                </c:pt>
                <c:pt idx="84">
                  <c:v>4.9871416976376599E-3</c:v>
                </c:pt>
                <c:pt idx="85">
                  <c:v>5.1030539061424612E-3</c:v>
                </c:pt>
                <c:pt idx="86">
                  <c:v>5.2203378567597415E-3</c:v>
                </c:pt>
                <c:pt idx="87">
                  <c:v>5.3389935494895123E-3</c:v>
                </c:pt>
                <c:pt idx="88">
                  <c:v>5.459020984331763E-3</c:v>
                </c:pt>
                <c:pt idx="89">
                  <c:v>5.5804201612864937E-3</c:v>
                </c:pt>
                <c:pt idx="90">
                  <c:v>5.7031910803537105E-3</c:v>
                </c:pt>
                <c:pt idx="91">
                  <c:v>5.8273337415334072E-3</c:v>
                </c:pt>
                <c:pt idx="92">
                  <c:v>5.9528481448255901E-3</c:v>
                </c:pt>
                <c:pt idx="93">
                  <c:v>6.079734290230252E-3</c:v>
                </c:pt>
                <c:pt idx="94">
                  <c:v>6.2079921777474E-3</c:v>
                </c:pt>
                <c:pt idx="95">
                  <c:v>6.3376218073770306E-3</c:v>
                </c:pt>
                <c:pt idx="96">
                  <c:v>6.4686231791191411E-3</c:v>
                </c:pt>
                <c:pt idx="97">
                  <c:v>6.6009962929737378E-3</c:v>
                </c:pt>
                <c:pt idx="98">
                  <c:v>6.7347411489408161E-3</c:v>
                </c:pt>
                <c:pt idx="99">
                  <c:v>6.8698577470203753E-3</c:v>
                </c:pt>
                <c:pt idx="100">
                  <c:v>7.0063460872124214E-3</c:v>
                </c:pt>
                <c:pt idx="101">
                  <c:v>7.1442061695169458E-3</c:v>
                </c:pt>
                <c:pt idx="102">
                  <c:v>7.2834379939339571E-3</c:v>
                </c:pt>
                <c:pt idx="103">
                  <c:v>7.4240415604634492E-3</c:v>
                </c:pt>
                <c:pt idx="104">
                  <c:v>7.5660168691054214E-3</c:v>
                </c:pt>
                <c:pt idx="105">
                  <c:v>7.7093639198598822E-3</c:v>
                </c:pt>
                <c:pt idx="106">
                  <c:v>7.8540827127268221E-3</c:v>
                </c:pt>
                <c:pt idx="107">
                  <c:v>8.0001732477062472E-3</c:v>
                </c:pt>
                <c:pt idx="108">
                  <c:v>8.1476355247981531E-3</c:v>
                </c:pt>
                <c:pt idx="109">
                  <c:v>8.2964695440025434E-3</c:v>
                </c:pt>
                <c:pt idx="110">
                  <c:v>8.4466753053194128E-3</c:v>
                </c:pt>
                <c:pt idx="111">
                  <c:v>8.5982528087487735E-3</c:v>
                </c:pt>
                <c:pt idx="112">
                  <c:v>8.7512020542906081E-3</c:v>
                </c:pt>
                <c:pt idx="113">
                  <c:v>8.9055230419449304E-3</c:v>
                </c:pt>
                <c:pt idx="114">
                  <c:v>9.0612157717117336E-3</c:v>
                </c:pt>
                <c:pt idx="115">
                  <c:v>9.2182802435910195E-3</c:v>
                </c:pt>
                <c:pt idx="116">
                  <c:v>9.3767164575827896E-3</c:v>
                </c:pt>
                <c:pt idx="117">
                  <c:v>9.5365244136870423E-3</c:v>
                </c:pt>
                <c:pt idx="118">
                  <c:v>9.6977041119037776E-3</c:v>
                </c:pt>
                <c:pt idx="119">
                  <c:v>9.8602555522329972E-3</c:v>
                </c:pt>
                <c:pt idx="120">
                  <c:v>1.0024178734674691E-2</c:v>
                </c:pt>
                <c:pt idx="121">
                  <c:v>1.0189473659228883E-2</c:v>
                </c:pt>
                <c:pt idx="122">
                  <c:v>1.0356140325895552E-2</c:v>
                </c:pt>
                <c:pt idx="123">
                  <c:v>1.0524178734674695E-2</c:v>
                </c:pt>
                <c:pt idx="124">
                  <c:v>1.0693588885566334E-2</c:v>
                </c:pt>
                <c:pt idx="125">
                  <c:v>1.0864370778570448E-2</c:v>
                </c:pt>
                <c:pt idx="126">
                  <c:v>1.1036524413687045E-2</c:v>
                </c:pt>
                <c:pt idx="127">
                  <c:v>1.1210049790916122E-2</c:v>
                </c:pt>
                <c:pt idx="128">
                  <c:v>1.1384946910257685E-2</c:v>
                </c:pt>
                <c:pt idx="129">
                  <c:v>1.1561215771711739E-2</c:v>
                </c:pt>
                <c:pt idx="130">
                  <c:v>1.1738856375278264E-2</c:v>
                </c:pt>
                <c:pt idx="131">
                  <c:v>1.1917868720957278E-2</c:v>
                </c:pt>
                <c:pt idx="132">
                  <c:v>1.2098252808748768E-2</c:v>
                </c:pt>
                <c:pt idx="133">
                  <c:v>1.2280008638652747E-2</c:v>
                </c:pt>
                <c:pt idx="134">
                  <c:v>1.2463136210669218E-2</c:v>
                </c:pt>
                <c:pt idx="135">
                  <c:v>1.2647635524798148E-2</c:v>
                </c:pt>
                <c:pt idx="136">
                  <c:v>1.2833506581039577E-2</c:v>
                </c:pt>
                <c:pt idx="137">
                  <c:v>1.3020749379393492E-2</c:v>
                </c:pt>
                <c:pt idx="138">
                  <c:v>1.3209363919859878E-2</c:v>
                </c:pt>
                <c:pt idx="139">
                  <c:v>1.3399350202438758E-2</c:v>
                </c:pt>
                <c:pt idx="140">
                  <c:v>1.3590708227130112E-2</c:v>
                </c:pt>
                <c:pt idx="141">
                  <c:v>1.3783437993933959E-2</c:v>
                </c:pt>
                <c:pt idx="142">
                  <c:v>1.3977539502850281E-2</c:v>
                </c:pt>
                <c:pt idx="143">
                  <c:v>1.4173012753879083E-2</c:v>
                </c:pt>
                <c:pt idx="144">
                  <c:v>1.4369857747020374E-2</c:v>
                </c:pt>
                <c:pt idx="145">
                  <c:v>1.4568074482274148E-2</c:v>
                </c:pt>
                <c:pt idx="146">
                  <c:v>1.4767662959640399E-2</c:v>
                </c:pt>
                <c:pt idx="147">
                  <c:v>1.496862317911914E-2</c:v>
                </c:pt>
                <c:pt idx="148">
                  <c:v>1.5170955140710358E-2</c:v>
                </c:pt>
                <c:pt idx="149">
                  <c:v>1.5374658844414057E-2</c:v>
                </c:pt>
                <c:pt idx="150">
                  <c:v>1.5579734290230254E-2</c:v>
                </c:pt>
              </c:numCache>
            </c:numRef>
          </c:yVal>
          <c:smooth val="1"/>
          <c:extLst>
            <c:ext xmlns:c16="http://schemas.microsoft.com/office/drawing/2014/chart" uri="{C3380CC4-5D6E-409C-BE32-E72D297353CC}">
              <c16:uniqueId val="{00000003-8AEF-4CD2-9E91-5056CF00EB36}"/>
            </c:ext>
          </c:extLst>
        </c:ser>
        <c:dLbls>
          <c:showLegendKey val="0"/>
          <c:showVal val="0"/>
          <c:showCatName val="0"/>
          <c:showSerName val="0"/>
          <c:showPercent val="0"/>
          <c:showBubbleSize val="0"/>
        </c:dLbls>
        <c:axId val="145058432"/>
        <c:axId val="145056896"/>
      </c:scatterChart>
      <c:valAx>
        <c:axId val="145036800"/>
        <c:scaling>
          <c:orientation val="minMax"/>
        </c:scaling>
        <c:delete val="0"/>
        <c:axPos val="b"/>
        <c:majorGridlines/>
        <c:numFmt formatCode="General" sourceLinked="1"/>
        <c:majorTickMark val="out"/>
        <c:minorTickMark val="none"/>
        <c:tickLblPos val="nextTo"/>
        <c:crossAx val="145038336"/>
        <c:crosses val="autoZero"/>
        <c:crossBetween val="midCat"/>
      </c:valAx>
      <c:valAx>
        <c:axId val="145038336"/>
        <c:scaling>
          <c:orientation val="minMax"/>
          <c:max val="100"/>
        </c:scaling>
        <c:delete val="0"/>
        <c:axPos val="l"/>
        <c:majorGridlines/>
        <c:title>
          <c:overlay val="0"/>
          <c:txPr>
            <a:bodyPr rot="-5400000" vert="horz"/>
            <a:lstStyle/>
            <a:p>
              <a:pPr>
                <a:defRPr/>
              </a:pPr>
              <a:endParaRPr lang="en-US"/>
            </a:p>
          </c:txPr>
        </c:title>
        <c:numFmt formatCode="General" sourceLinked="1"/>
        <c:majorTickMark val="out"/>
        <c:minorTickMark val="none"/>
        <c:tickLblPos val="nextTo"/>
        <c:crossAx val="145036800"/>
        <c:crosses val="autoZero"/>
        <c:crossBetween val="midCat"/>
      </c:valAx>
      <c:valAx>
        <c:axId val="145056896"/>
        <c:scaling>
          <c:orientation val="minMax"/>
        </c:scaling>
        <c:delete val="0"/>
        <c:axPos val="r"/>
        <c:numFmt formatCode="General" sourceLinked="1"/>
        <c:majorTickMark val="out"/>
        <c:minorTickMark val="none"/>
        <c:tickLblPos val="nextTo"/>
        <c:crossAx val="145058432"/>
        <c:crosses val="max"/>
        <c:crossBetween val="midCat"/>
      </c:valAx>
      <c:valAx>
        <c:axId val="145058432"/>
        <c:scaling>
          <c:orientation val="minMax"/>
        </c:scaling>
        <c:delete val="1"/>
        <c:axPos val="b"/>
        <c:numFmt formatCode="General" sourceLinked="1"/>
        <c:majorTickMark val="out"/>
        <c:minorTickMark val="none"/>
        <c:tickLblPos val="nextTo"/>
        <c:crossAx val="145056896"/>
        <c:crosses val="autoZero"/>
        <c:crossBetween val="midCat"/>
      </c:valAx>
    </c:plotArea>
    <c:legend>
      <c:legendPos val="r"/>
      <c:overlay val="1"/>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Plant Transfer</a:t>
            </a:r>
            <a:r>
              <a:rPr lang="en-US" baseline="0"/>
              <a:t> Function</a:t>
            </a:r>
            <a:endParaRPr lang="en-US"/>
          </a:p>
        </c:rich>
      </c:tx>
      <c:overlay val="0"/>
    </c:title>
    <c:autoTitleDeleted val="0"/>
    <c:plotArea>
      <c:layout/>
      <c:scatterChart>
        <c:scatterStyle val="smoothMarker"/>
        <c:varyColors val="0"/>
        <c:ser>
          <c:idx val="0"/>
          <c:order val="0"/>
          <c:tx>
            <c:v>Gain(dB)</c:v>
          </c:tx>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Loop_Modeling!$AD$19:$AD$560</c:f>
              <c:numCache>
                <c:formatCode>0.000</c:formatCode>
                <c:ptCount val="542"/>
                <c:pt idx="0">
                  <c:v>37.882404315306289</c:v>
                </c:pt>
                <c:pt idx="1">
                  <c:v>37.84396030603726</c:v>
                </c:pt>
                <c:pt idx="2">
                  <c:v>37.804065933293302</c:v>
                </c:pt>
                <c:pt idx="3">
                  <c:v>37.762680497749734</c:v>
                </c:pt>
                <c:pt idx="4">
                  <c:v>37.719763210239257</c:v>
                </c:pt>
                <c:pt idx="5">
                  <c:v>37.675273275584246</c:v>
                </c:pt>
                <c:pt idx="6">
                  <c:v>37.629169981034245</c:v>
                </c:pt>
                <c:pt idx="7">
                  <c:v>37.581412789103076</c:v>
                </c:pt>
                <c:pt idx="8">
                  <c:v>37.531961434550773</c:v>
                </c:pt>
                <c:pt idx="9">
                  <c:v>37.48077602520253</c:v>
                </c:pt>
                <c:pt idx="10">
                  <c:v>37.427817146244855</c:v>
                </c:pt>
                <c:pt idx="11">
                  <c:v>37.373045967585448</c:v>
                </c:pt>
                <c:pt idx="12">
                  <c:v>37.316424353811151</c:v>
                </c:pt>
                <c:pt idx="13">
                  <c:v>37.257914976226999</c:v>
                </c:pt>
                <c:pt idx="14">
                  <c:v>37.197481426410121</c:v>
                </c:pt>
                <c:pt idx="15">
                  <c:v>37.135088330666683</c:v>
                </c:pt>
                <c:pt idx="16">
                  <c:v>37.070701464737297</c:v>
                </c:pt>
                <c:pt idx="17">
                  <c:v>37.004287868059905</c:v>
                </c:pt>
                <c:pt idx="18">
                  <c:v>36.93581595686684</c:v>
                </c:pt>
                <c:pt idx="19">
                  <c:v>36.865255635368527</c:v>
                </c:pt>
                <c:pt idx="20">
                  <c:v>36.792578404258322</c:v>
                </c:pt>
                <c:pt idx="21">
                  <c:v>36.717757465763867</c:v>
                </c:pt>
                <c:pt idx="22">
                  <c:v>36.640767824469137</c:v>
                </c:pt>
                <c:pt idx="23">
                  <c:v>36.561586383140202</c:v>
                </c:pt>
                <c:pt idx="24">
                  <c:v>36.480192032805206</c:v>
                </c:pt>
                <c:pt idx="25">
                  <c:v>36.396565736366114</c:v>
                </c:pt>
                <c:pt idx="26">
                  <c:v>36.310690605057772</c:v>
                </c:pt>
                <c:pt idx="27">
                  <c:v>36.222551967114626</c:v>
                </c:pt>
                <c:pt idx="28">
                  <c:v>36.132137428062173</c:v>
                </c:pt>
                <c:pt idx="29">
                  <c:v>36.039436922112451</c:v>
                </c:pt>
                <c:pt idx="30">
                  <c:v>35.944442754215437</c:v>
                </c:pt>
                <c:pt idx="31">
                  <c:v>35.847149632394533</c:v>
                </c:pt>
                <c:pt idx="32">
                  <c:v>35.747554690079582</c:v>
                </c:pt>
                <c:pt idx="33">
                  <c:v>35.645657498236709</c:v>
                </c:pt>
                <c:pt idx="34">
                  <c:v>35.541460067186549</c:v>
                </c:pt>
                <c:pt idx="35">
                  <c:v>35.4349668380952</c:v>
                </c:pt>
                <c:pt idx="36">
                  <c:v>35.326184664212548</c:v>
                </c:pt>
                <c:pt idx="37">
                  <c:v>35.215122782027976</c:v>
                </c:pt>
                <c:pt idx="38">
                  <c:v>35.10179277259963</c:v>
                </c:pt>
                <c:pt idx="39">
                  <c:v>34.986208513399063</c:v>
                </c:pt>
                <c:pt idx="40">
                  <c:v>34.868386121094417</c:v>
                </c:pt>
                <c:pt idx="41">
                  <c:v>34.748343885767028</c:v>
                </c:pt>
                <c:pt idx="42">
                  <c:v>34.626102197124325</c:v>
                </c:pt>
                <c:pt idx="43">
                  <c:v>34.501683463328959</c:v>
                </c:pt>
                <c:pt idx="44">
                  <c:v>34.375112023114461</c:v>
                </c:pt>
                <c:pt idx="45">
                  <c:v>34.246414051897254</c:v>
                </c:pt>
                <c:pt idx="46">
                  <c:v>34.115617462626304</c:v>
                </c:pt>
                <c:pt idx="47">
                  <c:v>33.982751802132221</c:v>
                </c:pt>
                <c:pt idx="48">
                  <c:v>33.847848143749545</c:v>
                </c:pt>
                <c:pt idx="49">
                  <c:v>33.710938976988487</c:v>
                </c:pt>
                <c:pt idx="50">
                  <c:v>33.572058095025604</c:v>
                </c:pt>
                <c:pt idx="51">
                  <c:v>33.431240480768111</c:v>
                </c:pt>
                <c:pt idx="52">
                  <c:v>33.288522192224555</c:v>
                </c:pt>
                <c:pt idx="53">
                  <c:v>33.143940247885041</c:v>
                </c:pt>
                <c:pt idx="54">
                  <c:v>32.997532512778577</c:v>
                </c:pt>
                <c:pt idx="55">
                  <c:v>32.849337585835343</c:v>
                </c:pt>
                <c:pt idx="56">
                  <c:v>32.699394689136454</c:v>
                </c:pt>
                <c:pt idx="57">
                  <c:v>32.547743559585221</c:v>
                </c:pt>
                <c:pt idx="58">
                  <c:v>32.39442434348522</c:v>
                </c:pt>
                <c:pt idx="59">
                  <c:v>32.239477494455166</c:v>
                </c:pt>
                <c:pt idx="60">
                  <c:v>32.082943675061081</c:v>
                </c:pt>
                <c:pt idx="61">
                  <c:v>31.924863662490811</c:v>
                </c:pt>
                <c:pt idx="62">
                  <c:v>31.765278258544377</c:v>
                </c:pt>
                <c:pt idx="63">
                  <c:v>31.604228204162851</c:v>
                </c:pt>
                <c:pt idx="64">
                  <c:v>31.441754098669019</c:v>
                </c:pt>
                <c:pt idx="65">
                  <c:v>31.277896323846015</c:v>
                </c:pt>
                <c:pt idx="66">
                  <c:v>31.112694972935774</c:v>
                </c:pt>
                <c:pt idx="67">
                  <c:v>30.94618978459788</c:v>
                </c:pt>
                <c:pt idx="68">
                  <c:v>30.778420081831474</c:v>
                </c:pt>
                <c:pt idx="69">
                  <c:v>30.609424715827384</c:v>
                </c:pt>
                <c:pt idx="70">
                  <c:v>30.439242014686258</c:v>
                </c:pt>
                <c:pt idx="71">
                  <c:v>30.267909736911381</c:v>
                </c:pt>
                <c:pt idx="72">
                  <c:v>30.095465029558856</c:v>
                </c:pt>
                <c:pt idx="73">
                  <c:v>29.921944390907207</c:v>
                </c:pt>
                <c:pt idx="74">
                  <c:v>29.747383637490348</c:v>
                </c:pt>
                <c:pt idx="75">
                  <c:v>29.571817875323191</c:v>
                </c:pt>
                <c:pt idx="76">
                  <c:v>29.395281475135899</c:v>
                </c:pt>
                <c:pt idx="77">
                  <c:v>29.217808051425141</c:v>
                </c:pt>
                <c:pt idx="78">
                  <c:v>29.03943044512204</c:v>
                </c:pt>
                <c:pt idx="79">
                  <c:v>28.860180709673632</c:v>
                </c:pt>
                <c:pt idx="80">
                  <c:v>28.680090100330954</c:v>
                </c:pt>
                <c:pt idx="81">
                  <c:v>28.499189066437275</c:v>
                </c:pt>
                <c:pt idx="82">
                  <c:v>28.317507246510729</c:v>
                </c:pt>
                <c:pt idx="83">
                  <c:v>28.135073465917806</c:v>
                </c:pt>
                <c:pt idx="84">
                  <c:v>27.951915736939018</c:v>
                </c:pt>
                <c:pt idx="85">
                  <c:v>27.768061261032614</c:v>
                </c:pt>
                <c:pt idx="86">
                  <c:v>27.583536433107362</c:v>
                </c:pt>
                <c:pt idx="87">
                  <c:v>27.398366847624047</c:v>
                </c:pt>
                <c:pt idx="88">
                  <c:v>27.21257730634969</c:v>
                </c:pt>
                <c:pt idx="89">
                  <c:v>27.026191827599394</c:v>
                </c:pt>
                <c:pt idx="90">
                  <c:v>26.839233656806485</c:v>
                </c:pt>
                <c:pt idx="91">
                  <c:v>26.651725278270515</c:v>
                </c:pt>
                <c:pt idx="92">
                  <c:v>26.463688427941939</c:v>
                </c:pt>
                <c:pt idx="93">
                  <c:v>26.275144107109533</c:v>
                </c:pt>
                <c:pt idx="94">
                  <c:v>26.086112596865231</c:v>
                </c:pt>
                <c:pt idx="95">
                  <c:v>25.896613473230992</c:v>
                </c:pt>
                <c:pt idx="96">
                  <c:v>25.706665622837122</c:v>
                </c:pt>
                <c:pt idx="97">
                  <c:v>25.516287259053666</c:v>
                </c:pt>
                <c:pt idx="98">
                  <c:v>25.325495938479847</c:v>
                </c:pt>
                <c:pt idx="99">
                  <c:v>25.134308577707401</c:v>
                </c:pt>
                <c:pt idx="100">
                  <c:v>24.94274147027906</c:v>
                </c:pt>
                <c:pt idx="101">
                  <c:v>24.750810303770244</c:v>
                </c:pt>
                <c:pt idx="102">
                  <c:v>24.558530176929011</c:v>
                </c:pt>
                <c:pt idx="103">
                  <c:v>24.365915616815546</c:v>
                </c:pt>
                <c:pt idx="104">
                  <c:v>24.17298059588741</c:v>
                </c:pt>
                <c:pt idx="105">
                  <c:v>23.979738548983121</c:v>
                </c:pt>
                <c:pt idx="106">
                  <c:v>23.786202390161396</c:v>
                </c:pt>
                <c:pt idx="107">
                  <c:v>23.592384529358036</c:v>
                </c:pt>
                <c:pt idx="108">
                  <c:v>23.398296888827215</c:v>
                </c:pt>
                <c:pt idx="109">
                  <c:v>23.20395091933737</c:v>
                </c:pt>
                <c:pt idx="110">
                  <c:v>23.009357616097166</c:v>
                </c:pt>
                <c:pt idx="111">
                  <c:v>22.814527534388887</c:v>
                </c:pt>
                <c:pt idx="112">
                  <c:v>22.619470804890671</c:v>
                </c:pt>
                <c:pt idx="113">
                  <c:v>22.424197148672338</c:v>
                </c:pt>
                <c:pt idx="114">
                  <c:v>22.228715891851877</c:v>
                </c:pt>
                <c:pt idx="115">
                  <c:v>22.033035979901655</c:v>
                </c:pt>
                <c:pt idx="116">
                  <c:v>21.837165991597178</c:v>
                </c:pt>
                <c:pt idx="117">
                  <c:v>21.641114152601915</c:v>
                </c:pt>
                <c:pt idx="118">
                  <c:v>21.444888348683484</c:v>
                </c:pt>
                <c:pt idx="119">
                  <c:v>21.24849613856048</c:v>
                </c:pt>
                <c:pt idx="120">
                  <c:v>21.051944766376906</c:v>
                </c:pt>
                <c:pt idx="121">
                  <c:v>20.85524117380632</c:v>
                </c:pt>
                <c:pt idx="122">
                  <c:v>20.658392011786766</c:v>
                </c:pt>
                <c:pt idx="123">
                  <c:v>20.461403651888862</c:v>
                </c:pt>
                <c:pt idx="124">
                  <c:v>20.264282197321549</c:v>
                </c:pt>
                <c:pt idx="125">
                  <c:v>20.067033493579459</c:v>
                </c:pt>
                <c:pt idx="126">
                  <c:v>19.869663138736801</c:v>
                </c:pt>
                <c:pt idx="127">
                  <c:v>19.672176493394939</c:v>
                </c:pt>
                <c:pt idx="128">
                  <c:v>19.474578690288975</c:v>
                </c:pt>
                <c:pt idx="129">
                  <c:v>19.276874643559729</c:v>
                </c:pt>
                <c:pt idx="130">
                  <c:v>19.079069057700369</c:v>
                </c:pt>
                <c:pt idx="131">
                  <c:v>18.881166436182781</c:v>
                </c:pt>
                <c:pt idx="132">
                  <c:v>18.683171089773616</c:v>
                </c:pt>
                <c:pt idx="133">
                  <c:v>18.485087144546409</c:v>
                </c:pt>
                <c:pt idx="134">
                  <c:v>18.286918549598418</c:v>
                </c:pt>
                <c:pt idx="135">
                  <c:v>18.08866908448185</c:v>
                </c:pt>
                <c:pt idx="136">
                  <c:v>17.890342366354496</c:v>
                </c:pt>
                <c:pt idx="137">
                  <c:v>17.691941856861632</c:v>
                </c:pt>
                <c:pt idx="138">
                  <c:v>17.493470868755448</c:v>
                </c:pt>
                <c:pt idx="139">
                  <c:v>17.294932572260734</c:v>
                </c:pt>
                <c:pt idx="140">
                  <c:v>17.096330001195042</c:v>
                </c:pt>
                <c:pt idx="141">
                  <c:v>16.897666058851783</c:v>
                </c:pt>
                <c:pt idx="142">
                  <c:v>16.698943523653888</c:v>
                </c:pt>
                <c:pt idx="143">
                  <c:v>16.500165054585931</c:v>
                </c:pt>
                <c:pt idx="144">
                  <c:v>16.301333196413424</c:v>
                </c:pt>
                <c:pt idx="145">
                  <c:v>16.10245038469505</c:v>
                </c:pt>
                <c:pt idx="146">
                  <c:v>15.903518950597986</c:v>
                </c:pt>
                <c:pt idx="147">
                  <c:v>15.704541125520814</c:v>
                </c:pt>
                <c:pt idx="148">
                  <c:v>15.505519045533644</c:v>
                </c:pt>
                <c:pt idx="149">
                  <c:v>15.306454755640823</c:v>
                </c:pt>
                <c:pt idx="150">
                  <c:v>15.107350213874341</c:v>
                </c:pt>
                <c:pt idx="151">
                  <c:v>14.908207295223058</c:v>
                </c:pt>
                <c:pt idx="152">
                  <c:v>14.709027795406069</c:v>
                </c:pt>
                <c:pt idx="153">
                  <c:v>14.509813434495225</c:v>
                </c:pt>
                <c:pt idx="154">
                  <c:v>14.310565860393456</c:v>
                </c:pt>
                <c:pt idx="155">
                  <c:v>14.111286652174647</c:v>
                </c:pt>
                <c:pt idx="156">
                  <c:v>13.911977323291316</c:v>
                </c:pt>
                <c:pt idx="157">
                  <c:v>13.71263932465515</c:v>
                </c:pt>
                <c:pt idx="158">
                  <c:v>13.513274047596465</c:v>
                </c:pt>
                <c:pt idx="159">
                  <c:v>13.313882826707047</c:v>
                </c:pt>
                <c:pt idx="160">
                  <c:v>13.114466942572529</c:v>
                </c:pt>
                <c:pt idx="161">
                  <c:v>12.915027624398634</c:v>
                </c:pt>
                <c:pt idx="162">
                  <c:v>12.715566052536154</c:v>
                </c:pt>
                <c:pt idx="163">
                  <c:v>12.516083360909425</c:v>
                </c:pt>
                <c:pt idx="164">
                  <c:v>12.31658063935299</c:v>
                </c:pt>
                <c:pt idx="165">
                  <c:v>12.117058935860376</c:v>
                </c:pt>
                <c:pt idx="166">
                  <c:v>11.917519258750097</c:v>
                </c:pt>
                <c:pt idx="167">
                  <c:v>11.717962578751813</c:v>
                </c:pt>
                <c:pt idx="168">
                  <c:v>11.518389831017512</c:v>
                </c:pt>
                <c:pt idx="169">
                  <c:v>11.31880191706159</c:v>
                </c:pt>
                <c:pt idx="170">
                  <c:v>11.11919970663263</c:v>
                </c:pt>
                <c:pt idx="171">
                  <c:v>10.919584039522103</c:v>
                </c:pt>
                <c:pt idx="172">
                  <c:v>10.719955727311721</c:v>
                </c:pt>
                <c:pt idx="173">
                  <c:v>10.520315555064519</c:v>
                </c:pt>
                <c:pt idx="174">
                  <c:v>10.320664282961644</c:v>
                </c:pt>
                <c:pt idx="175">
                  <c:v>10.121002647889162</c:v>
                </c:pt>
                <c:pt idx="176">
                  <c:v>9.921331364977009</c:v>
                </c:pt>
                <c:pt idx="177">
                  <c:v>9.7216511290945231</c:v>
                </c:pt>
                <c:pt idx="178">
                  <c:v>9.521962616303524</c:v>
                </c:pt>
                <c:pt idx="179">
                  <c:v>9.3222664852744739</c:v>
                </c:pt>
                <c:pt idx="180">
                  <c:v>9.1225633786657436</c:v>
                </c:pt>
                <c:pt idx="181">
                  <c:v>8.9228539244711467</c:v>
                </c:pt>
                <c:pt idx="182">
                  <c:v>8.7231387373370666</c:v>
                </c:pt>
                <c:pt idx="183">
                  <c:v>8.523418419852403</c:v>
                </c:pt>
                <c:pt idx="184">
                  <c:v>8.3236935638134959</c:v>
                </c:pt>
                <c:pt idx="185">
                  <c:v>8.1239647514674331</c:v>
                </c:pt>
                <c:pt idx="186">
                  <c:v>7.9242325567352845</c:v>
                </c:pt>
                <c:pt idx="187">
                  <c:v>7.7244975464185082</c:v>
                </c:pt>
                <c:pt idx="188">
                  <c:v>7.5247602813906136</c:v>
                </c:pt>
                <c:pt idx="189">
                  <c:v>7.3250213177765851</c:v>
                </c:pt>
                <c:pt idx="190">
                  <c:v>7.1252812081227219</c:v>
                </c:pt>
                <c:pt idx="191">
                  <c:v>6.9255405025587873</c:v>
                </c:pt>
                <c:pt idx="192">
                  <c:v>6.7257997499554136</c:v>
                </c:pt>
                <c:pt idx="193">
                  <c:v>6.5260594990787748</c:v>
                </c:pt>
                <c:pt idx="194">
                  <c:v>6.3263202997449497</c:v>
                </c:pt>
                <c:pt idx="195">
                  <c:v>6.1265827039765286</c:v>
                </c:pt>
                <c:pt idx="196">
                  <c:v>5.9268472671634678</c:v>
                </c:pt>
                <c:pt idx="197">
                  <c:v>5.7271145492310938</c:v>
                </c:pt>
                <c:pt idx="198">
                  <c:v>5.5273851158171894</c:v>
                </c:pt>
                <c:pt idx="199">
                  <c:v>5.3276595394606563</c:v>
                </c:pt>
                <c:pt idx="200">
                  <c:v>5.1279384008044744</c:v>
                </c:pt>
                <c:pt idx="201">
                  <c:v>4.9282222898149222</c:v>
                </c:pt>
                <c:pt idx="202">
                  <c:v>4.7285118070201362</c:v>
                </c:pt>
                <c:pt idx="203">
                  <c:v>4.5288075647699806</c:v>
                </c:pt>
                <c:pt idx="204">
                  <c:v>4.3291101885201302</c:v>
                </c:pt>
                <c:pt idx="205">
                  <c:v>4.1294203181426736</c:v>
                </c:pt>
                <c:pt idx="206">
                  <c:v>3.9297386092662698</c:v>
                </c:pt>
                <c:pt idx="207">
                  <c:v>3.7300657346481429</c:v>
                </c:pt>
                <c:pt idx="208">
                  <c:v>3.5304023855811866</c:v>
                </c:pt>
                <c:pt idx="209">
                  <c:v>3.3307492733382009</c:v>
                </c:pt>
                <c:pt idx="210">
                  <c:v>3.1311071306569396</c:v>
                </c:pt>
                <c:pt idx="211">
                  <c:v>2.9314767132685677</c:v>
                </c:pt>
                <c:pt idx="212">
                  <c:v>2.7318588014726526</c:v>
                </c:pt>
                <c:pt idx="213">
                  <c:v>2.5322542017611815</c:v>
                </c:pt>
                <c:pt idx="214">
                  <c:v>2.3326637484961759</c:v>
                </c:pt>
                <c:pt idx="215">
                  <c:v>2.1330883056428456</c:v>
                </c:pt>
                <c:pt idx="216">
                  <c:v>1.9335287685618483</c:v>
                </c:pt>
                <c:pt idx="217">
                  <c:v>1.7339860658652151</c:v>
                </c:pt>
                <c:pt idx="218">
                  <c:v>1.5344611613381287</c:v>
                </c:pt>
                <c:pt idx="219">
                  <c:v>1.3349550559308243</c:v>
                </c:pt>
                <c:pt idx="220">
                  <c:v>1.1354687898246922</c:v>
                </c:pt>
                <c:pt idx="221">
                  <c:v>0.93600344457579854</c:v>
                </c:pt>
                <c:pt idx="222">
                  <c:v>0.73656014534099379</c:v>
                </c:pt>
                <c:pt idx="223">
                  <c:v>0.53714006318892749</c:v>
                </c:pt>
                <c:pt idx="224">
                  <c:v>0.33774441750208573</c:v>
                </c:pt>
                <c:pt idx="225">
                  <c:v>0.13837447847357168</c:v>
                </c:pt>
                <c:pt idx="226">
                  <c:v>-6.096843029783483E-2</c:v>
                </c:pt>
                <c:pt idx="227">
                  <c:v>-0.26028292910725842</c:v>
                </c:pt>
                <c:pt idx="228">
                  <c:v>-0.45956757933558878</c:v>
                </c:pt>
                <c:pt idx="229">
                  <c:v>-0.65882088052773491</c:v>
                </c:pt>
                <c:pt idx="230">
                  <c:v>-0.85804126735110275</c:v>
                </c:pt>
                <c:pt idx="231">
                  <c:v>-1.0572271064309589</c:v>
                </c:pt>
                <c:pt idx="232">
                  <c:v>-1.2563766930552096</c:v>
                </c:pt>
                <c:pt idx="233">
                  <c:v>-1.4554882477450861</c:v>
                </c:pt>
                <c:pt idx="234">
                  <c:v>-1.6545599126843085</c:v>
                </c:pt>
                <c:pt idx="235">
                  <c:v>-1.8535897480010763</c:v>
                </c:pt>
                <c:pt idx="236">
                  <c:v>-2.0525757278982542</c:v>
                </c:pt>
                <c:pt idx="237">
                  <c:v>-2.2515157366237357</c:v>
                </c:pt>
                <c:pt idx="238">
                  <c:v>-2.4504075642751975</c:v>
                </c:pt>
                <c:pt idx="239">
                  <c:v>-2.6492489024337407</c:v>
                </c:pt>
                <c:pt idx="240">
                  <c:v>-2.8480373396180774</c:v>
                </c:pt>
                <c:pt idx="241">
                  <c:v>-3.046770356553842</c:v>
                </c:pt>
                <c:pt idx="242">
                  <c:v>-3.2454453212502998</c:v>
                </c:pt>
                <c:pt idx="243">
                  <c:v>-3.4440594838781813</c:v>
                </c:pt>
                <c:pt idx="244">
                  <c:v>-3.6426099714401738</c:v>
                </c:pt>
                <c:pt idx="245">
                  <c:v>-3.8410937822285209</c:v>
                </c:pt>
                <c:pt idx="246">
                  <c:v>-4.039507780061216</c:v>
                </c:pt>
                <c:pt idx="247">
                  <c:v>-4.2378486882891799</c:v>
                </c:pt>
                <c:pt idx="248">
                  <c:v>-4.4361130835687126</c:v>
                </c:pt>
                <c:pt idx="249">
                  <c:v>-4.6342973893891424</c:v>
                </c:pt>
                <c:pt idx="250">
                  <c:v>-4.8323978693506877</c:v>
                </c:pt>
                <c:pt idx="251">
                  <c:v>-5.0304106201836269</c:v>
                </c:pt>
                <c:pt idx="252">
                  <c:v>-5.228331564501759</c:v>
                </c:pt>
                <c:pt idx="253">
                  <c:v>-5.4261564432829266</c:v>
                </c:pt>
                <c:pt idx="254">
                  <c:v>-5.6238808080700418</c:v>
                </c:pt>
                <c:pt idx="255">
                  <c:v>-5.8215000128843606</c:v>
                </c:pt>
                <c:pt idx="256">
                  <c:v>-6.0190092058457711</c:v>
                </c:pt>
                <c:pt idx="257">
                  <c:v>-6.2164033204927636</c:v>
                </c:pt>
                <c:pt idx="258">
                  <c:v>-6.4136770667964624</c:v>
                </c:pt>
                <c:pt idx="259">
                  <c:v>-6.6108249218631983</c:v>
                </c:pt>
                <c:pt idx="260">
                  <c:v>-6.8078411203203695</c:v>
                </c:pt>
                <c:pt idx="261">
                  <c:v>-7.0047196443809225</c:v>
                </c:pt>
                <c:pt idx="262">
                  <c:v>-7.2014542135830437</c:v>
                </c:pt>
                <c:pt idx="263">
                  <c:v>-7.3980382742024444</c:v>
                </c:pt>
                <c:pt idx="264">
                  <c:v>-7.5944649883336375</c:v>
                </c:pt>
                <c:pt idx="265">
                  <c:v>-7.7907272226411841</c:v>
                </c:pt>
                <c:pt idx="266">
                  <c:v>-7.9868175367788341</c:v>
                </c:pt>
                <c:pt idx="267">
                  <c:v>-8.1827281714800613</c:v>
                </c:pt>
                <c:pt idx="268">
                  <c:v>-8.378451036320909</c:v>
                </c:pt>
                <c:pt idx="269">
                  <c:v>-8.5739776971605313</c:v>
                </c:pt>
                <c:pt idx="270">
                  <c:v>-8.7692993632657252</c:v>
                </c:pt>
                <c:pt idx="271">
                  <c:v>-8.9644068741272136</c:v>
                </c:pt>
                <c:pt idx="272">
                  <c:v>-9.1592906859774175</c:v>
                </c:pt>
                <c:pt idx="273">
                  <c:v>-9.3539408580239147</c:v>
                </c:pt>
                <c:pt idx="274">
                  <c:v>-9.5483470384125653</c:v>
                </c:pt>
                <c:pt idx="275">
                  <c:v>-9.7424984499387666</c:v>
                </c:pt>
                <c:pt idx="276">
                  <c:v>-9.9363838755287066</c:v>
                </c:pt>
                <c:pt idx="277">
                  <c:v>-10.12999164351405</c:v>
                </c:pt>
                <c:pt idx="278">
                  <c:v>-10.323309612729762</c:v>
                </c:pt>
                <c:pt idx="279">
                  <c:v>-10.516325157466003</c:v>
                </c:pt>
                <c:pt idx="280">
                  <c:v>-10.709025152311394</c:v>
                </c:pt>
                <c:pt idx="281">
                  <c:v>-10.901395956928511</c:v>
                </c:pt>
                <c:pt idx="282">
                  <c:v>-11.093423400807401</c:v>
                </c:pt>
                <c:pt idx="283">
                  <c:v>-11.285092768048301</c:v>
                </c:pt>
                <c:pt idx="284">
                  <c:v>-11.476388782230666</c:v>
                </c:pt>
                <c:pt idx="285">
                  <c:v>-11.667295591430911</c:v>
                </c:pt>
                <c:pt idx="286">
                  <c:v>-11.85779675345726</c:v>
                </c:pt>
                <c:pt idx="287">
                  <c:v>-12.047875221378721</c:v>
                </c:pt>
                <c:pt idx="288">
                  <c:v>-12.237513329428573</c:v>
                </c:pt>
                <c:pt idx="289">
                  <c:v>-12.426692779373635</c:v>
                </c:pt>
                <c:pt idx="290">
                  <c:v>-12.615394627445847</c:v>
                </c:pt>
                <c:pt idx="291">
                  <c:v>-12.803599271941001</c:v>
                </c:pt>
                <c:pt idx="292">
                  <c:v>-12.991286441598064</c:v>
                </c:pt>
                <c:pt idx="293">
                  <c:v>-13.1784351848799</c:v>
                </c:pt>
                <c:pt idx="294">
                  <c:v>-13.365023860285481</c:v>
                </c:pt>
                <c:pt idx="295">
                  <c:v>-13.551030127831545</c:v>
                </c:pt>
                <c:pt idx="296">
                  <c:v>-13.736430941850221</c:v>
                </c:pt>
                <c:pt idx="297">
                  <c:v>-13.921202545258161</c:v>
                </c:pt>
                <c:pt idx="298">
                  <c:v>-14.105320465460494</c:v>
                </c:pt>
                <c:pt idx="299">
                  <c:v>-14.288759512060844</c:v>
                </c:pt>
                <c:pt idx="300">
                  <c:v>-14.471493776557796</c:v>
                </c:pt>
                <c:pt idx="301">
                  <c:v>-14.653496634212894</c:v>
                </c:pt>
                <c:pt idx="302">
                  <c:v>-14.834740748285057</c:v>
                </c:pt>
                <c:pt idx="303">
                  <c:v>-15.015198076829188</c:v>
                </c:pt>
                <c:pt idx="304">
                  <c:v>-15.194839882263944</c:v>
                </c:pt>
                <c:pt idx="305">
                  <c:v>-15.373636743915975</c:v>
                </c:pt>
                <c:pt idx="306">
                  <c:v>-15.55155857375132</c:v>
                </c:pt>
                <c:pt idx="307">
                  <c:v>-15.72857463550501</c:v>
                </c:pt>
                <c:pt idx="308">
                  <c:v>-15.904653567419711</c:v>
                </c:pt>
                <c:pt idx="309">
                  <c:v>-16.07976340880132</c:v>
                </c:pt>
                <c:pt idx="310">
                  <c:v>-16.253871630594023</c:v>
                </c:pt>
                <c:pt idx="311">
                  <c:v>-16.426945170172012</c:v>
                </c:pt>
                <c:pt idx="312">
                  <c:v>-16.598950470532149</c:v>
                </c:pt>
                <c:pt idx="313">
                  <c:v>-16.769853524062995</c:v>
                </c:pt>
                <c:pt idx="314">
                  <c:v>-16.939619921046685</c:v>
                </c:pt>
                <c:pt idx="315">
                  <c:v>-17.108214903033716</c:v>
                </c:pt>
                <c:pt idx="316">
                  <c:v>-17.275603421207904</c:v>
                </c:pt>
                <c:pt idx="317">
                  <c:v>-17.441750199832651</c:v>
                </c:pt>
                <c:pt idx="318">
                  <c:v>-17.606619804842516</c:v>
                </c:pt>
                <c:pt idx="319">
                  <c:v>-17.770176717609591</c:v>
                </c:pt>
                <c:pt idx="320">
                  <c:v>-17.932385413879913</c:v>
                </c:pt>
                <c:pt idx="321">
                  <c:v>-18.093210447834537</c:v>
                </c:pt>
                <c:pt idx="322">
                  <c:v>-18.252616541187848</c:v>
                </c:pt>
                <c:pt idx="323">
                  <c:v>-18.410568677190643</c:v>
                </c:pt>
                <c:pt idx="324">
                  <c:v>-18.567032199355459</c:v>
                </c:pt>
                <c:pt idx="325">
                  <c:v>-18.72197291467155</c:v>
                </c:pt>
                <c:pt idx="326">
                  <c:v>-18.875357201024741</c:v>
                </c:pt>
                <c:pt idx="327">
                  <c:v>-19.027152118482014</c:v>
                </c:pt>
                <c:pt idx="328">
                  <c:v>-19.177325524045962</c:v>
                </c:pt>
                <c:pt idx="329">
                  <c:v>-19.325846189429758</c:v>
                </c:pt>
                <c:pt idx="330">
                  <c:v>-19.472683921347095</c:v>
                </c:pt>
                <c:pt idx="331">
                  <c:v>-19.617809683760221</c:v>
                </c:pt>
                <c:pt idx="332">
                  <c:v>-19.76119572147654</c:v>
                </c:pt>
                <c:pt idx="333">
                  <c:v>-19.902815684438494</c:v>
                </c:pt>
                <c:pt idx="334">
                  <c:v>-20.042644752005781</c:v>
                </c:pt>
                <c:pt idx="335">
                  <c:v>-20.180659756490765</c:v>
                </c:pt>
                <c:pt idx="336">
                  <c:v>-20.316839305176071</c:v>
                </c:pt>
                <c:pt idx="337">
                  <c:v>-20.45116390001678</c:v>
                </c:pt>
                <c:pt idx="338">
                  <c:v>-20.583616054208299</c:v>
                </c:pt>
                <c:pt idx="339">
                  <c:v>-20.714180404793758</c:v>
                </c:pt>
                <c:pt idx="340">
                  <c:v>-20.842843820480226</c:v>
                </c:pt>
                <c:pt idx="341">
                  <c:v>-20.969595503840228</c:v>
                </c:pt>
                <c:pt idx="342">
                  <c:v>-21.094427087090423</c:v>
                </c:pt>
                <c:pt idx="343">
                  <c:v>-21.217332720666281</c:v>
                </c:pt>
                <c:pt idx="344">
                  <c:v>-21.338309153843174</c:v>
                </c:pt>
                <c:pt idx="345">
                  <c:v>-21.457355806701486</c:v>
                </c:pt>
                <c:pt idx="346">
                  <c:v>-21.574474832780961</c:v>
                </c:pt>
                <c:pt idx="347">
                  <c:v>-21.689671171833147</c:v>
                </c:pt>
                <c:pt idx="348">
                  <c:v>-21.802952592146273</c:v>
                </c:pt>
                <c:pt idx="349">
                  <c:v>-21.914329721988544</c:v>
                </c:pt>
                <c:pt idx="350">
                  <c:v>-22.023816069796229</c:v>
                </c:pt>
                <c:pt idx="351">
                  <c:v>-22.131428032814391</c:v>
                </c:pt>
                <c:pt idx="352">
                  <c:v>-22.237184893980956</c:v>
                </c:pt>
                <c:pt idx="353">
                  <c:v>-22.34110880693235</c:v>
                </c:pt>
                <c:pt idx="354">
                  <c:v>-22.443224769095067</c:v>
                </c:pt>
                <c:pt idx="355">
                  <c:v>-22.543560582909045</c:v>
                </c:pt>
                <c:pt idx="356">
                  <c:v>-22.642146805314226</c:v>
                </c:pt>
                <c:pt idx="357">
                  <c:v>-22.739016685706503</c:v>
                </c:pt>
                <c:pt idx="358">
                  <c:v>-22.834206092642955</c:v>
                </c:pt>
                <c:pt idx="359">
                  <c:v>-22.927753429645591</c:v>
                </c:pt>
                <c:pt idx="360">
                  <c:v>-23.019699540508832</c:v>
                </c:pt>
                <c:pt idx="361">
                  <c:v>-23.110087604573565</c:v>
                </c:pt>
                <c:pt idx="362">
                  <c:v>-23.198963022475141</c:v>
                </c:pt>
                <c:pt idx="363">
                  <c:v>-23.286373292909268</c:v>
                </c:pt>
                <c:pt idx="364">
                  <c:v>-23.372367880992115</c:v>
                </c:pt>
                <c:pt idx="365">
                  <c:v>-23.456998078812351</c:v>
                </c:pt>
                <c:pt idx="366">
                  <c:v>-23.540316858790355</c:v>
                </c:pt>
                <c:pt idx="367">
                  <c:v>-23.622378720465651</c:v>
                </c:pt>
                <c:pt idx="368">
                  <c:v>-23.703239531341318</c:v>
                </c:pt>
                <c:pt idx="369">
                  <c:v>-23.78295636240744</c:v>
                </c:pt>
                <c:pt idx="370">
                  <c:v>-23.861587318962975</c:v>
                </c:pt>
                <c:pt idx="371">
                  <c:v>-23.939191367344627</c:v>
                </c:pt>
                <c:pt idx="372">
                  <c:v>-24.015828158159621</c:v>
                </c:pt>
                <c:pt idx="373">
                  <c:v>-24.091557846606285</c:v>
                </c:pt>
                <c:pt idx="374">
                  <c:v>-24.166440910454952</c:v>
                </c:pt>
                <c:pt idx="375">
                  <c:v>-24.240537966245999</c:v>
                </c:pt>
                <c:pt idx="376">
                  <c:v>-24.313909584254766</c:v>
                </c:pt>
                <c:pt idx="377">
                  <c:v>-24.386616102761881</c:v>
                </c:pt>
                <c:pt idx="378">
                  <c:v>-24.458717442163902</c:v>
                </c:pt>
                <c:pt idx="379">
                  <c:v>-24.530272919454962</c:v>
                </c:pt>
                <c:pt idx="380">
                  <c:v>-24.60134106361582</c:v>
                </c:pt>
                <c:pt idx="381">
                  <c:v>-24.671979432448069</c:v>
                </c:pt>
                <c:pt idx="382">
                  <c:v>-24.742244431404949</c:v>
                </c:pt>
                <c:pt idx="383">
                  <c:v>-24.812191134982434</c:v>
                </c:pt>
                <c:pt idx="384">
                  <c:v>-24.881873111252784</c:v>
                </c:pt>
                <c:pt idx="385">
                  <c:v>-24.951342250142119</c:v>
                </c:pt>
                <c:pt idx="386">
                  <c:v>-25.020648596078281</c:v>
                </c:pt>
                <c:pt idx="387">
                  <c:v>-25.089840185659806</c:v>
                </c:pt>
                <c:pt idx="388">
                  <c:v>-25.158962891021357</c:v>
                </c:pt>
                <c:pt idx="389">
                  <c:v>-25.228060269597755</c:v>
                </c:pt>
                <c:pt idx="390">
                  <c:v>-25.297173421012054</c:v>
                </c:pt>
                <c:pt idx="391">
                  <c:v>-25.366340851834345</c:v>
                </c:pt>
                <c:pt idx="392">
                  <c:v>-25.435598348975734</c:v>
                </c:pt>
                <c:pt idx="393">
                  <c:v>-25.504978862494806</c:v>
                </c:pt>
                <c:pt idx="394">
                  <c:v>-25.57451239859958</c:v>
                </c:pt>
                <c:pt idx="395">
                  <c:v>-25.644225923627097</c:v>
                </c:pt>
                <c:pt idx="396">
                  <c:v>-25.714143279774021</c:v>
                </c:pt>
                <c:pt idx="397">
                  <c:v>-25.784285113331784</c:v>
                </c:pt>
                <c:pt idx="398">
                  <c:v>-25.854668816151655</c:v>
                </c:pt>
                <c:pt idx="399">
                  <c:v>-25.925308481025425</c:v>
                </c:pt>
                <c:pt idx="400">
                  <c:v>-25.996214871616679</c:v>
                </c:pt>
                <c:pt idx="401">
                  <c:v>-26.067395407515068</c:v>
                </c:pt>
                <c:pt idx="402">
                  <c:v>-26.13885416491426</c:v>
                </c:pt>
                <c:pt idx="403">
                  <c:v>-26.210591893328296</c:v>
                </c:pt>
                <c:pt idx="404">
                  <c:v>-26.282606048667287</c:v>
                </c:pt>
                <c:pt idx="405">
                  <c:v>-26.354890842889724</c:v>
                </c:pt>
                <c:pt idx="406">
                  <c:v>-26.427437310333804</c:v>
                </c:pt>
                <c:pt idx="407">
                  <c:v>-26.500233390711571</c:v>
                </c:pt>
                <c:pt idx="408">
                  <c:v>-26.573264028621637</c:v>
                </c:pt>
                <c:pt idx="409">
                  <c:v>-26.646511289306201</c:v>
                </c:pt>
                <c:pt idx="410">
                  <c:v>-26.719954490242287</c:v>
                </c:pt>
                <c:pt idx="411">
                  <c:v>-26.793570348024474</c:v>
                </c:pt>
                <c:pt idx="412">
                  <c:v>-26.867333139860108</c:v>
                </c:pt>
                <c:pt idx="413">
                  <c:v>-26.941214878867193</c:v>
                </c:pt>
                <c:pt idx="414">
                  <c:v>-27.015185502239326</c:v>
                </c:pt>
                <c:pt idx="415">
                  <c:v>-27.089213071220151</c:v>
                </c:pt>
                <c:pt idx="416">
                  <c:v>-27.163263981720419</c:v>
                </c:pt>
                <c:pt idx="417">
                  <c:v>-27.237303184306256</c:v>
                </c:pt>
                <c:pt idx="418">
                  <c:v>-27.311294412200773</c:v>
                </c:pt>
                <c:pt idx="419">
                  <c:v>-27.3852004158611</c:v>
                </c:pt>
                <c:pt idx="420">
                  <c:v>-27.458983202632858</c:v>
                </c:pt>
                <c:pt idx="421">
                  <c:v>-27.532604279936312</c:v>
                </c:pt>
                <c:pt idx="422">
                  <c:v>-27.606024900406517</c:v>
                </c:pt>
                <c:pt idx="423">
                  <c:v>-27.679206307397351</c:v>
                </c:pt>
                <c:pt idx="424">
                  <c:v>-27.75210997926024</c:v>
                </c:pt>
                <c:pt idx="425">
                  <c:v>-27.824697870828054</c:v>
                </c:pt>
                <c:pt idx="426">
                  <c:v>-27.896932650572751</c:v>
                </c:pt>
                <c:pt idx="427">
                  <c:v>-27.968777931954669</c:v>
                </c:pt>
                <c:pt idx="428">
                  <c:v>-28.040198497551479</c:v>
                </c:pt>
                <c:pt idx="429">
                  <c:v>-28.111160514636691</c:v>
                </c:pt>
                <c:pt idx="430">
                  <c:v>-28.181631740972065</c:v>
                </c:pt>
                <c:pt idx="431">
                  <c:v>-28.25158171968684</c:v>
                </c:pt>
                <c:pt idx="432">
                  <c:v>-28.320981962232786</c:v>
                </c:pt>
                <c:pt idx="433">
                  <c:v>-28.389806118532654</c:v>
                </c:pt>
                <c:pt idx="434">
                  <c:v>-28.458030133569025</c:v>
                </c:pt>
                <c:pt idx="435">
                  <c:v>-28.525632389801064</c:v>
                </c:pt>
                <c:pt idx="436">
                  <c:v>-28.592593834934949</c:v>
                </c:pt>
                <c:pt idx="437">
                  <c:v>-28.6588980947162</c:v>
                </c:pt>
                <c:pt idx="438">
                  <c:v>-28.724531570550958</c:v>
                </c:pt>
                <c:pt idx="439">
                  <c:v>-28.789483521900031</c:v>
                </c:pt>
                <c:pt idx="440">
                  <c:v>-28.853746133522769</c:v>
                </c:pt>
                <c:pt idx="441">
                  <c:v>-28.917314567771115</c:v>
                </c:pt>
                <c:pt idx="442">
                  <c:v>-28.980187002252681</c:v>
                </c:pt>
                <c:pt idx="443">
                  <c:v>-29.042364653287972</c:v>
                </c:pt>
                <c:pt idx="444">
                  <c:v>-29.103851785685872</c:v>
                </c:pt>
                <c:pt idx="445">
                  <c:v>-29.164655709444634</c:v>
                </c:pt>
                <c:pt idx="446">
                  <c:v>-29.224786764059143</c:v>
                </c:pt>
                <c:pt idx="447">
                  <c:v>-29.284258291177107</c:v>
                </c:pt>
                <c:pt idx="448">
                  <c:v>-29.343086596392336</c:v>
                </c:pt>
                <c:pt idx="449">
                  <c:v>-29.401290900996926</c:v>
                </c:pt>
                <c:pt idx="450">
                  <c:v>-29.45889328453778</c:v>
                </c:pt>
                <c:pt idx="451">
                  <c:v>-29.515918619030366</c:v>
                </c:pt>
                <c:pt idx="452">
                  <c:v>-29.57239449567998</c:v>
                </c:pt>
                <c:pt idx="453">
                  <c:v>-29.628351144945238</c:v>
                </c:pt>
                <c:pt idx="454">
                  <c:v>-29.683821350758798</c:v>
                </c:pt>
                <c:pt idx="455">
                  <c:v>-29.738840359680616</c:v>
                </c:pt>
                <c:pt idx="456">
                  <c:v>-29.793445785724803</c:v>
                </c:pt>
                <c:pt idx="457">
                  <c:v>-29.847677511546379</c:v>
                </c:pt>
                <c:pt idx="458">
                  <c:v>-29.90157758662335</c:v>
                </c:pt>
                <c:pt idx="459">
                  <c:v>-29.95519012301417</c:v>
                </c:pt>
                <c:pt idx="460">
                  <c:v>-30.008561189201465</c:v>
                </c:pt>
                <c:pt idx="461">
                  <c:v>-30.061738702476767</c:v>
                </c:pt>
                <c:pt idx="462">
                  <c:v>-30.114772320253479</c:v>
                </c:pt>
                <c:pt idx="463">
                  <c:v>-30.167713330629994</c:v>
                </c:pt>
                <c:pt idx="464">
                  <c:v>-30.220614542464752</c:v>
                </c:pt>
                <c:pt idx="465">
                  <c:v>-30.273530175163156</c:v>
                </c:pt>
                <c:pt idx="466">
                  <c:v>-30.32651574831857</c:v>
                </c:pt>
                <c:pt idx="467">
                  <c:v>-30.379627971297509</c:v>
                </c:pt>
                <c:pt idx="468">
                  <c:v>-30.432924632809989</c:v>
                </c:pt>
                <c:pt idx="469">
                  <c:v>-30.486464490462261</c:v>
                </c:pt>
                <c:pt idx="470">
                  <c:v>-30.540307160251775</c:v>
                </c:pt>
                <c:pt idx="471">
                  <c:v>-30.594513005936001</c:v>
                </c:pt>
                <c:pt idx="472">
                  <c:v>-30.649143028175601</c:v>
                </c:pt>
                <c:pt idx="473">
                  <c:v>-30.704258753342092</c:v>
                </c:pt>
                <c:pt idx="474">
                  <c:v>-30.759922121865145</c:v>
                </c:pt>
                <c:pt idx="475">
                  <c:v>-30.816195375991843</c:v>
                </c:pt>
                <c:pt idx="476">
                  <c:v>-30.873140946833175</c:v>
                </c:pt>
                <c:pt idx="477">
                  <c:v>-30.930821340586185</c:v>
                </c:pt>
                <c:pt idx="478">
                  <c:v>-30.989299023832547</c:v>
                </c:pt>
                <c:pt idx="479">
                  <c:v>-31.048636307842031</c:v>
                </c:pt>
                <c:pt idx="480">
                  <c:v>-31.108895231836115</c:v>
                </c:pt>
                <c:pt idx="481">
                  <c:v>-31.170137445203785</c:v>
                </c:pt>
                <c:pt idx="482">
                  <c:v>-31.232424088700025</c:v>
                </c:pt>
                <c:pt idx="483">
                  <c:v>-31.295815674703054</c:v>
                </c:pt>
                <c:pt idx="484">
                  <c:v>-31.360371966654618</c:v>
                </c:pt>
                <c:pt idx="485">
                  <c:v>-31.426151857856944</c:v>
                </c:pt>
                <c:pt idx="486">
                  <c:v>-31.493213249854367</c:v>
                </c:pt>
                <c:pt idx="487">
                  <c:v>-31.561612930682426</c:v>
                </c:pt>
                <c:pt idx="488">
                  <c:v>-31.631406453316899</c:v>
                </c:pt>
                <c:pt idx="489">
                  <c:v>-31.702648014715017</c:v>
                </c:pt>
                <c:pt idx="490">
                  <c:v>-31.775390335885248</c:v>
                </c:pt>
                <c:pt idx="491">
                  <c:v>-31.849684543475398</c:v>
                </c:pt>
                <c:pt idx="492">
                  <c:v>-31.925580053409362</c:v>
                </c:pt>
                <c:pt idx="493">
                  <c:v>-32.003124457142675</c:v>
                </c:pt>
                <c:pt idx="494">
                  <c:v>-32.082363411140136</c:v>
                </c:pt>
                <c:pt idx="495">
                  <c:v>-32.163340530202944</c:v>
                </c:pt>
                <c:pt idx="496">
                  <c:v>-32.246097285292343</c:v>
                </c:pt>
                <c:pt idx="497">
                  <c:v>-32.330672906503573</c:v>
                </c:pt>
                <c:pt idx="498">
                  <c:v>-32.417104291847252</c:v>
                </c:pt>
                <c:pt idx="499">
                  <c:v>-32.50542592248285</c:v>
                </c:pt>
                <c:pt idx="500">
                  <c:v>-32.595669785031127</c:v>
                </c:pt>
                <c:pt idx="501">
                  <c:v>-32.687865301566049</c:v>
                </c:pt>
                <c:pt idx="502">
                  <c:v>-32.782039267842926</c:v>
                </c:pt>
                <c:pt idx="503">
                  <c:v>-32.87821580027753</c:v>
                </c:pt>
                <c:pt idx="504">
                  <c:v>-32.976416292131802</c:v>
                </c:pt>
                <c:pt idx="505">
                  <c:v>-33.076659379296899</c:v>
                </c:pt>
                <c:pt idx="506">
                  <c:v>-33.178960915995923</c:v>
                </c:pt>
                <c:pt idx="507">
                  <c:v>-33.283333960647653</c:v>
                </c:pt>
                <c:pt idx="508">
                  <c:v>-33.389788772053649</c:v>
                </c:pt>
                <c:pt idx="509">
                  <c:v>-33.498332815983218</c:v>
                </c:pt>
                <c:pt idx="510">
                  <c:v>-33.608970782143608</c:v>
                </c:pt>
                <c:pt idx="511">
                  <c:v>-33.7217046114339</c:v>
                </c:pt>
                <c:pt idx="512">
                  <c:v>-33.83653353329467</c:v>
                </c:pt>
                <c:pt idx="513">
                  <c:v>-33.95345411287628</c:v>
                </c:pt>
                <c:pt idx="514">
                  <c:v>-34.072460307669786</c:v>
                </c:pt>
                <c:pt idx="515">
                  <c:v>-34.193543533165148</c:v>
                </c:pt>
                <c:pt idx="516">
                  <c:v>-34.316692737029939</c:v>
                </c:pt>
                <c:pt idx="517">
                  <c:v>-34.441894481236311</c:v>
                </c:pt>
                <c:pt idx="518">
                  <c:v>-34.569133031509217</c:v>
                </c:pt>
                <c:pt idx="519">
                  <c:v>-34.698390453417176</c:v>
                </c:pt>
                <c:pt idx="520">
                  <c:v>-34.829646714390513</c:v>
                </c:pt>
                <c:pt idx="521">
                  <c:v>-34.962879790918919</c:v>
                </c:pt>
                <c:pt idx="522">
                  <c:v>-35.098065780161633</c:v>
                </c:pt>
                <c:pt idx="523">
                  <c:v>-35.23517901519093</c:v>
                </c:pt>
                <c:pt idx="524">
                  <c:v>-35.37419218308812</c:v>
                </c:pt>
                <c:pt idx="525">
                  <c:v>-35.51507644511603</c:v>
                </c:pt>
                <c:pt idx="526">
                  <c:v>-35.657801558209428</c:v>
                </c:pt>
                <c:pt idx="527">
                  <c:v>-35.802335997044814</c:v>
                </c:pt>
                <c:pt idx="528">
                  <c:v>-35.948647075980979</c:v>
                </c:pt>
                <c:pt idx="529">
                  <c:v>-36.096701070199231</c:v>
                </c:pt>
                <c:pt idx="530">
                  <c:v>-36.246463335407093</c:v>
                </c:pt>
                <c:pt idx="531">
                  <c:v>-36.39789842552166</c:v>
                </c:pt>
                <c:pt idx="532">
                  <c:v>-36.550970207790108</c:v>
                </c:pt>
                <c:pt idx="533">
                  <c:v>-36.705641974860967</c:v>
                </c:pt>
                <c:pt idx="534">
                  <c:v>-36.861876553367722</c:v>
                </c:pt>
                <c:pt idx="535">
                  <c:v>-37.019636408643422</c:v>
                </c:pt>
                <c:pt idx="536">
                  <c:v>-37.17888374523541</c:v>
                </c:pt>
                <c:pt idx="537">
                  <c:v>-37.339580602944601</c:v>
                </c:pt>
                <c:pt idx="538">
                  <c:v>-37.501688948162268</c:v>
                </c:pt>
                <c:pt idx="539">
                  <c:v>-37.665170760328877</c:v>
                </c:pt>
                <c:pt idx="540">
                  <c:v>-37.829988113388737</c:v>
                </c:pt>
                <c:pt idx="541">
                  <c:v>-37.996103252153858</c:v>
                </c:pt>
              </c:numCache>
            </c:numRef>
          </c:yVal>
          <c:smooth val="1"/>
          <c:extLst>
            <c:ext xmlns:c16="http://schemas.microsoft.com/office/drawing/2014/chart" uri="{C3380CC4-5D6E-409C-BE32-E72D297353CC}">
              <c16:uniqueId val="{00000000-B561-4C80-890B-643E0BF90D63}"/>
            </c:ext>
          </c:extLst>
        </c:ser>
        <c:dLbls>
          <c:showLegendKey val="0"/>
          <c:showVal val="0"/>
          <c:showCatName val="0"/>
          <c:showSerName val="0"/>
          <c:showPercent val="0"/>
          <c:showBubbleSize val="0"/>
        </c:dLbls>
        <c:axId val="162497664"/>
        <c:axId val="162499584"/>
      </c:scatterChart>
      <c:scatterChart>
        <c:scatterStyle val="smoothMarker"/>
        <c:varyColors val="0"/>
        <c:ser>
          <c:idx val="1"/>
          <c:order val="1"/>
          <c:tx>
            <c:v>Phase (deg)</c:v>
          </c:tx>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Loop_Modeling!$AE$19:$AE$560</c:f>
              <c:numCache>
                <c:formatCode>General</c:formatCode>
                <c:ptCount val="542"/>
                <c:pt idx="0">
                  <c:v>-25.733755281915403</c:v>
                </c:pt>
                <c:pt idx="1">
                  <c:v>-26.253360682436107</c:v>
                </c:pt>
                <c:pt idx="2">
                  <c:v>-26.780293300184962</c:v>
                </c:pt>
                <c:pt idx="3">
                  <c:v>-27.31447542652921</c:v>
                </c:pt>
                <c:pt idx="4">
                  <c:v>-27.855818253690177</c:v>
                </c:pt>
                <c:pt idx="5">
                  <c:v>-28.40422160684221</c:v>
                </c:pt>
                <c:pt idx="6">
                  <c:v>-28.959573704813266</c:v>
                </c:pt>
                <c:pt idx="7">
                  <c:v>-29.521750952560811</c:v>
                </c:pt>
                <c:pt idx="8">
                  <c:v>-30.090617768581755</c:v>
                </c:pt>
                <c:pt idx="9">
                  <c:v>-30.666026450353126</c:v>
                </c:pt>
                <c:pt idx="10">
                  <c:v>-31.247817080811618</c:v>
                </c:pt>
                <c:pt idx="11">
                  <c:v>-31.835817478739333</c:v>
                </c:pt>
                <c:pt idx="12">
                  <c:v>-32.429843195752291</c:v>
                </c:pt>
                <c:pt idx="13">
                  <c:v>-33.029697562363125</c:v>
                </c:pt>
                <c:pt idx="14">
                  <c:v>-33.63517178532814</c:v>
                </c:pt>
                <c:pt idx="15">
                  <c:v>-34.246045098183856</c:v>
                </c:pt>
                <c:pt idx="16">
                  <c:v>-34.862084966526865</c:v>
                </c:pt>
                <c:pt idx="17">
                  <c:v>-35.483047349205904</c:v>
                </c:pt>
                <c:pt idx="18">
                  <c:v>-36.108677016167725</c:v>
                </c:pt>
                <c:pt idx="19">
                  <c:v>-36.738707923244732</c:v>
                </c:pt>
                <c:pt idx="20">
                  <c:v>-37.372863643681747</c:v>
                </c:pt>
                <c:pt idx="21">
                  <c:v>-38.010857855698589</c:v>
                </c:pt>
                <c:pt idx="22">
                  <c:v>-38.652394884853742</c:v>
                </c:pt>
                <c:pt idx="23">
                  <c:v>-39.297170299451388</c:v>
                </c:pt>
                <c:pt idx="24">
                  <c:v>-39.944871556690913</c:v>
                </c:pt>
                <c:pt idx="25">
                  <c:v>-40.595178696742039</c:v>
                </c:pt>
                <c:pt idx="26">
                  <c:v>-41.247765081409533</c:v>
                </c:pt>
                <c:pt idx="27">
                  <c:v>-41.902298173570074</c:v>
                </c:pt>
                <c:pt idx="28">
                  <c:v>-42.558440353108182</c:v>
                </c:pt>
                <c:pt idx="29">
                  <c:v>-43.215849764661137</c:v>
                </c:pt>
                <c:pt idx="30">
                  <c:v>-43.874181192121</c:v>
                </c:pt>
                <c:pt idx="31">
                  <c:v>-44.53308695452359</c:v>
                </c:pt>
                <c:pt idx="32">
                  <c:v>-45.192217817704858</c:v>
                </c:pt>
                <c:pt idx="33">
                  <c:v>-45.851223915920222</c:v>
                </c:pt>
                <c:pt idx="34">
                  <c:v>-46.509755677497402</c:v>
                </c:pt>
                <c:pt idx="35">
                  <c:v>-47.167464748545576</c:v>
                </c:pt>
                <c:pt idx="36">
                  <c:v>-47.824004908777979</c:v>
                </c:pt>
                <c:pt idx="37">
                  <c:v>-48.479032973580175</c:v>
                </c:pt>
                <c:pt idx="38">
                  <c:v>-49.132209676635846</c:v>
                </c:pt>
                <c:pt idx="39">
                  <c:v>-49.783200527648994</c:v>
                </c:pt>
                <c:pt idx="40">
                  <c:v>-50.43167663998485</c:v>
                </c:pt>
                <c:pt idx="41">
                  <c:v>-51.077315523412999</c:v>
                </c:pt>
                <c:pt idx="42">
                  <c:v>-51.719801837523583</c:v>
                </c:pt>
                <c:pt idx="43">
                  <c:v>-52.358828101836849</c:v>
                </c:pt>
                <c:pt idx="44">
                  <c:v>-52.994095359096015</c:v>
                </c:pt>
                <c:pt idx="45">
                  <c:v>-53.625313788744755</c:v>
                </c:pt>
                <c:pt idx="46">
                  <c:v>-54.252203268100395</c:v>
                </c:pt>
                <c:pt idx="47">
                  <c:v>-54.874493879279811</c:v>
                </c:pt>
                <c:pt idx="48">
                  <c:v>-55.491926360455572</c:v>
                </c:pt>
                <c:pt idx="49">
                  <c:v>-56.104252500554054</c:v>
                </c:pt>
                <c:pt idx="50">
                  <c:v>-56.711235477020878</c:v>
                </c:pt>
                <c:pt idx="51">
                  <c:v>-57.312650136770586</c:v>
                </c:pt>
                <c:pt idx="52">
                  <c:v>-57.908283220905695</c:v>
                </c:pt>
                <c:pt idx="53">
                  <c:v>-58.497933534227549</c:v>
                </c:pt>
                <c:pt idx="54">
                  <c:v>-59.081412060964809</c:v>
                </c:pt>
                <c:pt idx="55">
                  <c:v>-59.658542028499539</c:v>
                </c:pt>
                <c:pt idx="56">
                  <c:v>-60.229158921205041</c:v>
                </c:pt>
                <c:pt idx="57">
                  <c:v>-60.793110446775941</c:v>
                </c:pt>
                <c:pt idx="58">
                  <c:v>-61.350256457673559</c:v>
                </c:pt>
                <c:pt idx="59">
                  <c:v>-61.900468830499669</c:v>
                </c:pt>
                <c:pt idx="60">
                  <c:v>-62.443631306260194</c:v>
                </c:pt>
                <c:pt idx="61">
                  <c:v>-62.979639294589958</c:v>
                </c:pt>
                <c:pt idx="62">
                  <c:v>-63.508399645078676</c:v>
                </c:pt>
                <c:pt idx="63">
                  <c:v>-64.029830388873123</c:v>
                </c:pt>
                <c:pt idx="64">
                  <c:v>-64.543860453720967</c:v>
                </c:pt>
                <c:pt idx="65">
                  <c:v>-65.050429355605004</c:v>
                </c:pt>
                <c:pt idx="66">
                  <c:v>-65.549486870037427</c:v>
                </c:pt>
                <c:pt idx="67">
                  <c:v>-66.040992686018456</c:v>
                </c:pt>
                <c:pt idx="68">
                  <c:v>-66.524916045543677</c:v>
                </c:pt>
                <c:pt idx="69">
                  <c:v>-67.001235371429644</c:v>
                </c:pt>
                <c:pt idx="70">
                  <c:v>-67.469937886089113</c:v>
                </c:pt>
                <c:pt idx="71">
                  <c:v>-67.931019223732918</c:v>
                </c:pt>
                <c:pt idx="72">
                  <c:v>-68.384483038326721</c:v>
                </c:pt>
                <c:pt idx="73">
                  <c:v>-68.830340609458716</c:v>
                </c:pt>
                <c:pt idx="74">
                  <c:v>-69.268610448113847</c:v>
                </c:pt>
                <c:pt idx="75">
                  <c:v>-69.699317904178727</c:v>
                </c:pt>
                <c:pt idx="76">
                  <c:v>-70.12249477733387</c:v>
                </c:pt>
                <c:pt idx="77">
                  <c:v>-70.538178932828004</c:v>
                </c:pt>
                <c:pt idx="78">
                  <c:v>-70.946413923465769</c:v>
                </c:pt>
                <c:pt idx="79">
                  <c:v>-71.347248618982206</c:v>
                </c:pt>
                <c:pt idx="80">
                  <c:v>-71.740736843834981</c:v>
                </c:pt>
                <c:pt idx="81">
                  <c:v>-72.126937024294506</c:v>
                </c:pt>
                <c:pt idx="82">
                  <c:v>-72.505911845583654</c:v>
                </c:pt>
                <c:pt idx="83">
                  <c:v>-72.877727919688638</c:v>
                </c:pt>
                <c:pt idx="84">
                  <c:v>-73.242455464346193</c:v>
                </c:pt>
                <c:pt idx="85">
                  <c:v>-73.600167993601019</c:v>
                </c:pt>
                <c:pt idx="86">
                  <c:v>-73.950942020229064</c:v>
                </c:pt>
                <c:pt idx="87">
                  <c:v>-74.294856770226019</c:v>
                </c:pt>
                <c:pt idx="88">
                  <c:v>-74.631993909480769</c:v>
                </c:pt>
                <c:pt idx="89">
                  <c:v>-74.962437282673847</c:v>
                </c:pt>
                <c:pt idx="90">
                  <c:v>-75.286272664375815</c:v>
                </c:pt>
                <c:pt idx="91">
                  <c:v>-75.603587522257428</c:v>
                </c:pt>
                <c:pt idx="92">
                  <c:v>-75.914470792273164</c:v>
                </c:pt>
                <c:pt idx="93">
                  <c:v>-76.219012665630117</c:v>
                </c:pt>
                <c:pt idx="94">
                  <c:v>-76.517304387315832</c:v>
                </c:pt>
                <c:pt idx="95">
                  <c:v>-76.809438065923985</c:v>
                </c:pt>
                <c:pt idx="96">
                  <c:v>-77.095506494486685</c:v>
                </c:pt>
                <c:pt idx="97">
                  <c:v>-77.375602982000331</c:v>
                </c:pt>
                <c:pt idx="98">
                  <c:v>-77.649821195309841</c:v>
                </c:pt>
                <c:pt idx="99">
                  <c:v>-77.918255011004064</c:v>
                </c:pt>
                <c:pt idx="100">
                  <c:v>-78.180998376959977</c:v>
                </c:pt>
                <c:pt idx="101">
                  <c:v>-78.438145183169667</c:v>
                </c:pt>
                <c:pt idx="102">
                  <c:v>-78.689789141474492</c:v>
                </c:pt>
                <c:pt idx="103">
                  <c:v>-78.93602367383231</c:v>
                </c:pt>
                <c:pt idx="104">
                  <c:v>-79.176941808742058</c:v>
                </c:pt>
                <c:pt idx="105">
                  <c:v>-79.412636085451012</c:v>
                </c:pt>
                <c:pt idx="106">
                  <c:v>-79.643198465577171</c:v>
                </c:pt>
                <c:pt idx="107">
                  <c:v>-79.868720251781966</c:v>
                </c:pt>
                <c:pt idx="108">
                  <c:v>-80.089292013136472</c:v>
                </c:pt>
                <c:pt idx="109">
                  <c:v>-80.305003516832457</c:v>
                </c:pt>
                <c:pt idx="110">
                  <c:v>-80.515943665898519</c:v>
                </c:pt>
                <c:pt idx="111">
                  <c:v>-80.722200442590321</c:v>
                </c:pt>
                <c:pt idx="112">
                  <c:v>-80.923860857136376</c:v>
                </c:pt>
                <c:pt idx="113">
                  <c:v>-81.121010901528834</c:v>
                </c:pt>
                <c:pt idx="114">
                  <c:v>-81.313735508062166</c:v>
                </c:pt>
                <c:pt idx="115">
                  <c:v>-81.502118512332672</c:v>
                </c:pt>
                <c:pt idx="116">
                  <c:v>-81.686242620423386</c:v>
                </c:pt>
                <c:pt idx="117">
                  <c:v>-81.866189380011633</c:v>
                </c:pt>
                <c:pt idx="118">
                  <c:v>-82.042039155144778</c:v>
                </c:pt>
                <c:pt idx="119">
                  <c:v>-82.213871104446184</c:v>
                </c:pt>
                <c:pt idx="120">
                  <c:v>-82.381763162518624</c:v>
                </c:pt>
                <c:pt idx="121">
                  <c:v>-82.545792024329003</c:v>
                </c:pt>
                <c:pt idx="122">
                  <c:v>-82.706033132364283</c:v>
                </c:pt>
                <c:pt idx="123">
                  <c:v>-82.862560666363734</c:v>
                </c:pt>
                <c:pt idx="124">
                  <c:v>-83.015447535436834</c:v>
                </c:pt>
                <c:pt idx="125">
                  <c:v>-83.164765372393703</c:v>
                </c:pt>
                <c:pt idx="126">
                  <c:v>-83.310584530116785</c:v>
                </c:pt>
                <c:pt idx="127">
                  <c:v>-83.452974079817352</c:v>
                </c:pt>
                <c:pt idx="128">
                  <c:v>-83.592001811026805</c:v>
                </c:pt>
                <c:pt idx="129">
                  <c:v>-83.727734233181906</c:v>
                </c:pt>
                <c:pt idx="130">
                  <c:v>-83.86023657867014</c:v>
                </c:pt>
                <c:pt idx="131">
                  <c:v>-83.989572807212241</c:v>
                </c:pt>
                <c:pt idx="132">
                  <c:v>-84.11580561146225</c:v>
                </c:pt>
                <c:pt idx="133">
                  <c:v>-84.238996423716245</c:v>
                </c:pt>
                <c:pt idx="134">
                  <c:v>-84.359205423625824</c:v>
                </c:pt>
                <c:pt idx="135">
                  <c:v>-84.476491546818394</c:v>
                </c:pt>
                <c:pt idx="136">
                  <c:v>-84.590912494335342</c:v>
                </c:pt>
                <c:pt idx="137">
                  <c:v>-84.702524742800833</c:v>
                </c:pt>
                <c:pt idx="138">
                  <c:v>-84.811383555242955</c:v>
                </c:pt>
                <c:pt idx="139">
                  <c:v>-84.917542992492869</c:v>
                </c:pt>
                <c:pt idx="140">
                  <c:v>-85.021055925091943</c:v>
                </c:pt>
                <c:pt idx="141">
                  <c:v>-85.121974045643</c:v>
                </c:pt>
                <c:pt idx="142">
                  <c:v>-85.220347881544612</c:v>
                </c:pt>
                <c:pt idx="143">
                  <c:v>-85.316226808053102</c:v>
                </c:pt>
                <c:pt idx="144">
                  <c:v>-85.409659061619294</c:v>
                </c:pt>
                <c:pt idx="145">
                  <c:v>-85.500691753452472</c:v>
                </c:pt>
                <c:pt idx="146">
                  <c:v>-85.589370883265417</c:v>
                </c:pt>
                <c:pt idx="147">
                  <c:v>-85.675741353159751</c:v>
                </c:pt>
                <c:pt idx="148">
                  <c:v>-85.759846981612426</c:v>
                </c:pt>
                <c:pt idx="149">
                  <c:v>-85.841730517527523</c:v>
                </c:pt>
                <c:pt idx="150">
                  <c:v>-85.921433654320424</c:v>
                </c:pt>
                <c:pt idx="151">
                  <c:v>-85.998997044003957</c:v>
                </c:pt>
                <c:pt idx="152">
                  <c:v>-86.074460311247677</c:v>
                </c:pt>
                <c:pt idx="153">
                  <c:v>-86.147862067384963</c:v>
                </c:pt>
                <c:pt idx="154">
                  <c:v>-86.219239924343825</c:v>
                </c:pt>
                <c:pt idx="155">
                  <c:v>-86.288630508479031</c:v>
                </c:pt>
                <c:pt idx="156">
                  <c:v>-86.356069474286102</c:v>
                </c:pt>
                <c:pt idx="157">
                  <c:v>-86.42159151797803</c:v>
                </c:pt>
                <c:pt idx="158">
                  <c:v>-86.485230390908072</c:v>
                </c:pt>
                <c:pt idx="159">
                  <c:v>-86.547018912823503</c:v>
                </c:pt>
                <c:pt idx="160">
                  <c:v>-86.606988984935612</c:v>
                </c:pt>
                <c:pt idx="161">
                  <c:v>-86.665171602793393</c:v>
                </c:pt>
                <c:pt idx="162">
                  <c:v>-86.72159686894976</c:v>
                </c:pt>
                <c:pt idx="163">
                  <c:v>-86.776294005409042</c:v>
                </c:pt>
                <c:pt idx="164">
                  <c:v>-86.829291365846643</c:v>
                </c:pt>
                <c:pt idx="165">
                  <c:v>-86.880616447592388</c:v>
                </c:pt>
                <c:pt idx="166">
                  <c:v>-86.930295903369583</c:v>
                </c:pt>
                <c:pt idx="167">
                  <c:v>-86.978355552783228</c:v>
                </c:pt>
                <c:pt idx="168">
                  <c:v>-87.024820393550968</c:v>
                </c:pt>
                <c:pt idx="169">
                  <c:v>-87.069714612471785</c:v>
                </c:pt>
                <c:pt idx="170">
                  <c:v>-87.113061596127238</c:v>
                </c:pt>
                <c:pt idx="171">
                  <c:v>-87.154883941311397</c:v>
                </c:pt>
                <c:pt idx="172">
                  <c:v>-87.195203465185699</c:v>
                </c:pt>
                <c:pt idx="173">
                  <c:v>-87.234041215155742</c:v>
                </c:pt>
                <c:pt idx="174">
                  <c:v>-87.271417478467257</c:v>
                </c:pt>
                <c:pt idx="175">
                  <c:v>-87.307351791519309</c:v>
                </c:pt>
                <c:pt idx="176">
                  <c:v>-87.341862948892583</c:v>
                </c:pt>
                <c:pt idx="177">
                  <c:v>-87.374969012091626</c:v>
                </c:pt>
                <c:pt idx="178">
                  <c:v>-87.406687318000039</c:v>
                </c:pt>
                <c:pt idx="179">
                  <c:v>-87.437034487047427</c:v>
                </c:pt>
                <c:pt idx="180">
                  <c:v>-87.46602643108821</c:v>
                </c:pt>
                <c:pt idx="181">
                  <c:v>-87.493678360991652</c:v>
                </c:pt>
                <c:pt idx="182">
                  <c:v>-87.520004793943471</c:v>
                </c:pt>
                <c:pt idx="183">
                  <c:v>-87.545019560459068</c:v>
                </c:pt>
                <c:pt idx="184">
                  <c:v>-87.568735811109192</c:v>
                </c:pt>
                <c:pt idx="185">
                  <c:v>-87.591166022958575</c:v>
                </c:pt>
                <c:pt idx="186">
                  <c:v>-87.612322005718255</c:v>
                </c:pt>
                <c:pt idx="187">
                  <c:v>-87.632214907613303</c:v>
                </c:pt>
                <c:pt idx="188">
                  <c:v>-87.65085522096625</c:v>
                </c:pt>
                <c:pt idx="189">
                  <c:v>-87.668252787498801</c:v>
                </c:pt>
                <c:pt idx="190">
                  <c:v>-87.68441680335232</c:v>
                </c:pt>
                <c:pt idx="191">
                  <c:v>-87.699355823829677</c:v>
                </c:pt>
                <c:pt idx="192">
                  <c:v>-87.713077767859588</c:v>
                </c:pt>
                <c:pt idx="193">
                  <c:v>-87.725589922186217</c:v>
                </c:pt>
                <c:pt idx="194">
                  <c:v>-87.736898945285844</c:v>
                </c:pt>
                <c:pt idx="195">
                  <c:v>-87.747010871012534</c:v>
                </c:pt>
                <c:pt idx="196">
                  <c:v>-87.755931111976238</c:v>
                </c:pt>
                <c:pt idx="197">
                  <c:v>-87.763664462655072</c:v>
                </c:pt>
                <c:pt idx="198">
                  <c:v>-87.770215102244947</c:v>
                </c:pt>
                <c:pt idx="199">
                  <c:v>-87.775586597249571</c:v>
                </c:pt>
                <c:pt idx="200">
                  <c:v>-87.779781903813699</c:v>
                </c:pt>
                <c:pt idx="201">
                  <c:v>-87.782803369803176</c:v>
                </c:pt>
                <c:pt idx="202">
                  <c:v>-87.78465273663501</c:v>
                </c:pt>
                <c:pt idx="203">
                  <c:v>-87.785331140861629</c:v>
                </c:pt>
                <c:pt idx="204">
                  <c:v>-87.784839115512767</c:v>
                </c:pt>
                <c:pt idx="205">
                  <c:v>-87.78317659119935</c:v>
                </c:pt>
                <c:pt idx="206">
                  <c:v>-87.78034289698391</c:v>
                </c:pt>
                <c:pt idx="207">
                  <c:v>-87.776336761022165</c:v>
                </c:pt>
                <c:pt idx="208">
                  <c:v>-87.771156310980587</c:v>
                </c:pt>
                <c:pt idx="209">
                  <c:v>-87.764799074235611</c:v>
                </c:pt>
                <c:pt idx="210">
                  <c:v>-87.757261977859741</c:v>
                </c:pt>
                <c:pt idx="211">
                  <c:v>-87.748541348401019</c:v>
                </c:pt>
                <c:pt idx="212">
                  <c:v>-87.738632911461949</c:v>
                </c:pt>
                <c:pt idx="213">
                  <c:v>-87.727531791084886</c:v>
                </c:pt>
                <c:pt idx="214">
                  <c:v>-87.715232508951374</c:v>
                </c:pt>
                <c:pt idx="215">
                  <c:v>-87.701728983403001</c:v>
                </c:pt>
                <c:pt idx="216">
                  <c:v>-87.687014528292337</c:v>
                </c:pt>
                <c:pt idx="217">
                  <c:v>-87.67108185167308</c:v>
                </c:pt>
                <c:pt idx="218">
                  <c:v>-87.653923054338861</c:v>
                </c:pt>
                <c:pt idx="219">
                  <c:v>-87.63552962822088</c:v>
                </c:pt>
                <c:pt idx="220">
                  <c:v>-87.61589245465602</c:v>
                </c:pt>
                <c:pt idx="221">
                  <c:v>-87.595001802536629</c:v>
                </c:pt>
                <c:pt idx="222">
                  <c:v>-87.572847326355244</c:v>
                </c:pt>
                <c:pt idx="223">
                  <c:v>-87.549418064157521</c:v>
                </c:pt>
                <c:pt idx="224">
                  <c:v>-87.524702435418277</c:v>
                </c:pt>
                <c:pt idx="225">
                  <c:v>-87.49868823885636</c:v>
                </c:pt>
                <c:pt idx="226">
                  <c:v>-87.471362650204981</c:v>
                </c:pt>
                <c:pt idx="227">
                  <c:v>-87.442712219956064</c:v>
                </c:pt>
                <c:pt idx="228">
                  <c:v>-87.412722871097557</c:v>
                </c:pt>
                <c:pt idx="229">
                  <c:v>-87.381379896864885</c:v>
                </c:pt>
                <c:pt idx="230">
                  <c:v>-87.348667958528893</c:v>
                </c:pt>
                <c:pt idx="231">
                  <c:v>-87.31457108324409</c:v>
                </c:pt>
                <c:pt idx="232">
                  <c:v>-87.279072661983236</c:v>
                </c:pt>
                <c:pt idx="233">
                  <c:v>-87.242155447585461</c:v>
                </c:pt>
                <c:pt idx="234">
                  <c:v>-87.203801552948136</c:v>
                </c:pt>
                <c:pt idx="235">
                  <c:v>-87.163992449393533</c:v>
                </c:pt>
                <c:pt idx="236">
                  <c:v>-87.122708965244669</c:v>
                </c:pt>
                <c:pt idx="237">
                  <c:v>-87.079931284646804</c:v>
                </c:pt>
                <c:pt idx="238">
                  <c:v>-87.035638946673188</c:v>
                </c:pt>
                <c:pt idx="239">
                  <c:v>-86.989810844757315</c:v>
                </c:pt>
                <c:pt idx="240">
                  <c:v>-86.942425226495899</c:v>
                </c:pt>
                <c:pt idx="241">
                  <c:v>-86.893459693870511</c:v>
                </c:pt>
                <c:pt idx="242">
                  <c:v>-86.842891203939175</c:v>
                </c:pt>
                <c:pt idx="243">
                  <c:v>-86.790696070052078</c:v>
                </c:pt>
                <c:pt idx="244">
                  <c:v>-86.736849963650144</c:v>
                </c:pt>
                <c:pt idx="245">
                  <c:v>-86.681327916708369</c:v>
                </c:pt>
                <c:pt idx="246">
                  <c:v>-86.624104324890794</c:v>
                </c:pt>
                <c:pt idx="247">
                  <c:v>-86.565152951487747</c:v>
                </c:pt>
                <c:pt idx="248">
                  <c:v>-86.504446932210826</c:v>
                </c:pt>
                <c:pt idx="249">
                  <c:v>-86.441958780926825</c:v>
                </c:pt>
                <c:pt idx="250">
                  <c:v>-86.377660396415465</c:v>
                </c:pt>
                <c:pt idx="251">
                  <c:v>-86.311523070243268</c:v>
                </c:pt>
                <c:pt idx="252">
                  <c:v>-86.243517495849886</c:v>
                </c:pt>
                <c:pt idx="253">
                  <c:v>-86.173613778950568</c:v>
                </c:pt>
                <c:pt idx="254">
                  <c:v>-86.101781449364893</c:v>
                </c:pt>
                <c:pt idx="255">
                  <c:v>-86.027989474387127</c:v>
                </c:pt>
                <c:pt idx="256">
                  <c:v>-85.952206273823109</c:v>
                </c:pt>
                <c:pt idx="257">
                  <c:v>-85.874399736823634</c:v>
                </c:pt>
                <c:pt idx="258">
                  <c:v>-85.794537240653824</c:v>
                </c:pt>
                <c:pt idx="259">
                  <c:v>-85.712585671545057</c:v>
                </c:pt>
                <c:pt idx="260">
                  <c:v>-85.628511447784462</c:v>
                </c:pt>
                <c:pt idx="261">
                  <c:v>-85.542280545206509</c:v>
                </c:pt>
                <c:pt idx="262">
                  <c:v>-85.453858525259761</c:v>
                </c:pt>
                <c:pt idx="263">
                  <c:v>-85.363210565831153</c:v>
                </c:pt>
                <c:pt idx="264">
                  <c:v>-85.270301495020291</c:v>
                </c:pt>
                <c:pt idx="265">
                  <c:v>-85.175095828065409</c:v>
                </c:pt>
                <c:pt idx="266">
                  <c:v>-85.077557807635287</c:v>
                </c:pt>
                <c:pt idx="267">
                  <c:v>-84.977651447707132</c:v>
                </c:pt>
                <c:pt idx="268">
                  <c:v>-84.875340581268048</c:v>
                </c:pt>
                <c:pt idx="269">
                  <c:v>-84.770588912080754</c:v>
                </c:pt>
                <c:pt idx="270">
                  <c:v>-84.663360070772526</c:v>
                </c:pt>
                <c:pt idx="271">
                  <c:v>-84.553617675511092</c:v>
                </c:pt>
                <c:pt idx="272">
                  <c:v>-84.441325397548042</c:v>
                </c:pt>
                <c:pt idx="273">
                  <c:v>-84.326447031914896</c:v>
                </c:pt>
                <c:pt idx="274">
                  <c:v>-84.208946573574877</c:v>
                </c:pt>
                <c:pt idx="275">
                  <c:v>-84.08878829933667</c:v>
                </c:pt>
                <c:pt idx="276">
                  <c:v>-83.96593685585222</c:v>
                </c:pt>
                <c:pt idx="277">
                  <c:v>-83.840357354027375</c:v>
                </c:pt>
                <c:pt idx="278">
                  <c:v>-83.712015470182962</c:v>
                </c:pt>
                <c:pt idx="279">
                  <c:v>-83.580877554313432</c:v>
                </c:pt>
                <c:pt idx="280">
                  <c:v>-83.446910745795762</c:v>
                </c:pt>
                <c:pt idx="281">
                  <c:v>-83.310083096907974</c:v>
                </c:pt>
                <c:pt idx="282">
                  <c:v>-83.170363704520753</c:v>
                </c:pt>
                <c:pt idx="283">
                  <c:v>-83.027722850328388</c:v>
                </c:pt>
                <c:pt idx="284">
                  <c:v>-82.882132149986205</c:v>
                </c:pt>
                <c:pt idx="285">
                  <c:v>-82.733564711519094</c:v>
                </c:pt>
                <c:pt idx="286">
                  <c:v>-82.581995303365247</c:v>
                </c:pt>
                <c:pt idx="287">
                  <c:v>-82.427400532406836</c:v>
                </c:pt>
                <c:pt idx="288">
                  <c:v>-82.269759032335941</c:v>
                </c:pt>
                <c:pt idx="289">
                  <c:v>-82.109051662684308</c:v>
                </c:pt>
                <c:pt idx="290">
                  <c:v>-81.945261718834146</c:v>
                </c:pt>
                <c:pt idx="291">
                  <c:v>-81.778375153299251</c:v>
                </c:pt>
                <c:pt idx="292">
                  <c:v>-81.608380808545519</c:v>
                </c:pt>
                <c:pt idx="293">
                  <c:v>-81.435270661581995</c:v>
                </c:pt>
                <c:pt idx="294">
                  <c:v>-81.259040080522496</c:v>
                </c:pt>
                <c:pt idx="295">
                  <c:v>-81.079688093268402</c:v>
                </c:pt>
                <c:pt idx="296">
                  <c:v>-80.897217668418349</c:v>
                </c:pt>
                <c:pt idx="297">
                  <c:v>-80.711636008450228</c:v>
                </c:pt>
                <c:pt idx="298">
                  <c:v>-80.522954855158005</c:v>
                </c:pt>
                <c:pt idx="299">
                  <c:v>-80.331190807255027</c:v>
                </c:pt>
                <c:pt idx="300">
                  <c:v>-80.136365649970543</c:v>
                </c:pt>
                <c:pt idx="301">
                  <c:v>-79.938506696386256</c:v>
                </c:pt>
                <c:pt idx="302">
                  <c:v>-79.737647140151381</c:v>
                </c:pt>
                <c:pt idx="303">
                  <c:v>-79.533826419119166</c:v>
                </c:pt>
                <c:pt idx="304">
                  <c:v>-79.327090589324015</c:v>
                </c:pt>
                <c:pt idx="305">
                  <c:v>-79.117492708601787</c:v>
                </c:pt>
                <c:pt idx="306">
                  <c:v>-78.905093229015947</c:v>
                </c:pt>
                <c:pt idx="307">
                  <c:v>-78.68996039711817</c:v>
                </c:pt>
                <c:pt idx="308">
                  <c:v>-78.472170660916376</c:v>
                </c:pt>
                <c:pt idx="309">
                  <c:v>-78.251809082270199</c:v>
                </c:pt>
                <c:pt idx="310">
                  <c:v>-78.028969753271738</c:v>
                </c:pt>
                <c:pt idx="311">
                  <c:v>-77.803756214993683</c:v>
                </c:pt>
                <c:pt idx="312">
                  <c:v>-77.576281876825448</c:v>
                </c:pt>
                <c:pt idx="313">
                  <c:v>-77.3466704344291</c:v>
                </c:pt>
                <c:pt idx="314">
                  <c:v>-77.115056284179346</c:v>
                </c:pt>
                <c:pt idx="315">
                  <c:v>-76.881584931771499</c:v>
                </c:pt>
                <c:pt idx="316">
                  <c:v>-76.64641339250835</c:v>
                </c:pt>
                <c:pt idx="317">
                  <c:v>-76.40971058061055</c:v>
                </c:pt>
                <c:pt idx="318">
                  <c:v>-76.171657684733844</c:v>
                </c:pt>
                <c:pt idx="319">
                  <c:v>-75.932448526730852</c:v>
                </c:pt>
                <c:pt idx="320">
                  <c:v>-75.692289900557952</c:v>
                </c:pt>
                <c:pt idx="321">
                  <c:v>-75.451401888113764</c:v>
                </c:pt>
                <c:pt idx="322">
                  <c:v>-75.210018148699049</c:v>
                </c:pt>
                <c:pt idx="323">
                  <c:v>-74.96838617871326</c:v>
                </c:pt>
                <c:pt idx="324">
                  <c:v>-74.726767538162918</c:v>
                </c:pt>
                <c:pt idx="325">
                  <c:v>-74.485438040540529</c:v>
                </c:pt>
                <c:pt idx="326">
                  <c:v>-74.244687902651819</c:v>
                </c:pt>
                <c:pt idx="327">
                  <c:v>-74.004821851025923</c:v>
                </c:pt>
                <c:pt idx="328">
                  <c:v>-73.766159181639821</c:v>
                </c:pt>
                <c:pt idx="329">
                  <c:v>-73.529033769820401</c:v>
                </c:pt>
                <c:pt idx="330">
                  <c:v>-73.293794027371064</c:v>
                </c:pt>
                <c:pt idx="331">
                  <c:v>-73.060802804185258</c:v>
                </c:pt>
                <c:pt idx="332">
                  <c:v>-72.830437231880282</c:v>
                </c:pt>
                <c:pt idx="333">
                  <c:v>-72.603088507285563</c:v>
                </c:pt>
                <c:pt idx="334">
                  <c:v>-72.379161613976521</c:v>
                </c:pt>
                <c:pt idx="335">
                  <c:v>-72.159074980425402</c:v>
                </c:pt>
                <c:pt idx="336">
                  <c:v>-71.943260073768798</c:v>
                </c:pt>
                <c:pt idx="337">
                  <c:v>-71.732160928645371</c:v>
                </c:pt>
                <c:pt idx="338">
                  <c:v>-71.526233611038592</c:v>
                </c:pt>
                <c:pt idx="339">
                  <c:v>-71.325945617564528</c:v>
                </c:pt>
                <c:pt idx="340">
                  <c:v>-71.131775211159109</c:v>
                </c:pt>
                <c:pt idx="341">
                  <c:v>-70.944210694646429</c:v>
                </c:pt>
                <c:pt idx="342">
                  <c:v>-70.763749624193267</c:v>
                </c:pt>
                <c:pt idx="343">
                  <c:v>-70.590897965170171</c:v>
                </c:pt>
                <c:pt idx="344">
                  <c:v>-70.426169193442107</c:v>
                </c:pt>
                <c:pt idx="345">
                  <c:v>-70.270083345583629</c:v>
                </c:pt>
                <c:pt idx="346">
                  <c:v>-70.123166021961595</c:v>
                </c:pt>
                <c:pt idx="347">
                  <c:v>-69.98594734702715</c:v>
                </c:pt>
                <c:pt idx="348">
                  <c:v>-69.858960891520084</c:v>
                </c:pt>
                <c:pt idx="349">
                  <c:v>-69.742742561593332</c:v>
                </c:pt>
                <c:pt idx="350">
                  <c:v>-69.637829460111917</c:v>
                </c:pt>
                <c:pt idx="351">
                  <c:v>-69.544758725569082</c:v>
                </c:pt>
                <c:pt idx="352">
                  <c:v>-69.464066354183842</c:v>
                </c:pt>
                <c:pt idx="353">
                  <c:v>-69.396286010803237</c:v>
                </c:pt>
                <c:pt idx="354">
                  <c:v>-69.341947834229828</c:v>
                </c:pt>
                <c:pt idx="355">
                  <c:v>-69.301577242515336</c:v>
                </c:pt>
                <c:pt idx="356">
                  <c:v>-69.275693743634804</c:v>
                </c:pt>
                <c:pt idx="357">
                  <c:v>-69.264809756777979</c:v>
                </c:pt>
                <c:pt idx="358">
                  <c:v>-69.269429449232192</c:v>
                </c:pt>
                <c:pt idx="359">
                  <c:v>-69.290047593568744</c:v>
                </c:pt>
                <c:pt idx="360">
                  <c:v>-69.327148449509963</c:v>
                </c:pt>
                <c:pt idx="361">
                  <c:v>-69.38120467449869</c:v>
                </c:pt>
                <c:pt idx="362">
                  <c:v>-69.452676266622134</c:v>
                </c:pt>
                <c:pt idx="363">
                  <c:v>-69.542009543141319</c:v>
                </c:pt>
                <c:pt idx="364">
                  <c:v>-69.649636157490974</c:v>
                </c:pt>
                <c:pt idx="365">
                  <c:v>-69.775972157200783</c:v>
                </c:pt>
                <c:pt idx="366">
                  <c:v>-69.921417084824682</c:v>
                </c:pt>
                <c:pt idx="367">
                  <c:v>-70.086353123570589</c:v>
                </c:pt>
                <c:pt idx="368">
                  <c:v>-70.27114428899209</c:v>
                </c:pt>
                <c:pt idx="369">
                  <c:v>-70.476135667773221</c:v>
                </c:pt>
                <c:pt idx="370">
                  <c:v>-70.701652704355695</c:v>
                </c:pt>
                <c:pt idx="371">
                  <c:v>-70.948000535896824</c:v>
                </c:pt>
                <c:pt idx="372">
                  <c:v>-71.215463375839633</c:v>
                </c:pt>
                <c:pt idx="373">
                  <c:v>-71.504303946194042</c:v>
                </c:pt>
                <c:pt idx="374">
                  <c:v>-71.814762958492992</c:v>
                </c:pt>
                <c:pt idx="375">
                  <c:v>-72.14705864328262</c:v>
                </c:pt>
                <c:pt idx="376">
                  <c:v>-72.501386327944218</c:v>
                </c:pt>
                <c:pt idx="377">
                  <c:v>-72.877918062609055</c:v>
                </c:pt>
                <c:pt idx="378">
                  <c:v>-73.276802293920696</c:v>
                </c:pt>
                <c:pt idx="379">
                  <c:v>-73.698163586420449</c:v>
                </c:pt>
                <c:pt idx="380">
                  <c:v>-74.142102391365654</c:v>
                </c:pt>
                <c:pt idx="381">
                  <c:v>-74.608694862840053</c:v>
                </c:pt>
                <c:pt idx="382">
                  <c:v>-75.097992721074988</c:v>
                </c:pt>
                <c:pt idx="383">
                  <c:v>-75.610023162959052</c:v>
                </c:pt>
                <c:pt idx="384">
                  <c:v>-76.144788819764543</c:v>
                </c:pt>
                <c:pt idx="385">
                  <c:v>-76.702267762171161</c:v>
                </c:pt>
                <c:pt idx="386">
                  <c:v>-77.282413552701243</c:v>
                </c:pt>
                <c:pt idx="387">
                  <c:v>-77.885155345688474</c:v>
                </c:pt>
                <c:pt idx="388">
                  <c:v>-78.510398034901115</c:v>
                </c:pt>
                <c:pt idx="389">
                  <c:v>-79.158022448909037</c:v>
                </c:pt>
                <c:pt idx="390">
                  <c:v>-79.827885594224853</c:v>
                </c:pt>
                <c:pt idx="391">
                  <c:v>-80.519820946163591</c:v>
                </c:pt>
                <c:pt idx="392">
                  <c:v>-81.233638787257732</c:v>
                </c:pt>
                <c:pt idx="393">
                  <c:v>-81.96912659292181</c:v>
                </c:pt>
                <c:pt idx="394">
                  <c:v>-82.726049463901205</c:v>
                </c:pt>
                <c:pt idx="395">
                  <c:v>-83.504150604856108</c:v>
                </c:pt>
                <c:pt idx="396">
                  <c:v>-84.303151848226719</c:v>
                </c:pt>
                <c:pt idx="397">
                  <c:v>-85.12275422232014</c:v>
                </c:pt>
                <c:pt idx="398">
                  <c:v>-85.962638562326561</c:v>
                </c:pt>
                <c:pt idx="399">
                  <c:v>-86.822466162755333</c:v>
                </c:pt>
                <c:pt idx="400">
                  <c:v>-87.701879469557397</c:v>
                </c:pt>
                <c:pt idx="401">
                  <c:v>-88.600502809987404</c:v>
                </c:pt>
                <c:pt idx="402">
                  <c:v>-89.517943158060717</c:v>
                </c:pt>
                <c:pt idx="403">
                  <c:v>-90.453790933285248</c:v>
                </c:pt>
                <c:pt idx="404">
                  <c:v>-91.407620830187199</c:v>
                </c:pt>
                <c:pt idx="405">
                  <c:v>-92.378992676036077</c:v>
                </c:pt>
                <c:pt idx="406">
                  <c:v>-93.367452314064636</c:v>
                </c:pt>
                <c:pt idx="407">
                  <c:v>-94.37253250943651</c:v>
                </c:pt>
                <c:pt idx="408">
                  <c:v>-95.393753875177481</c:v>
                </c:pt>
                <c:pt idx="409">
                  <c:v>-96.430625815295016</c:v>
                </c:pt>
                <c:pt idx="410">
                  <c:v>-97.482647482360107</c:v>
                </c:pt>
                <c:pt idx="411">
                  <c:v>-98.549308746888528</c:v>
                </c:pt>
                <c:pt idx="412">
                  <c:v>-99.630091175963287</c:v>
                </c:pt>
                <c:pt idx="413">
                  <c:v>-100.72446901865317</c:v>
                </c:pt>
                <c:pt idx="414">
                  <c:v>-101.83191019592913</c:v>
                </c:pt>
                <c:pt idx="415">
                  <c:v>-102.95187729291365</c:v>
                </c:pt>
                <c:pt idx="416">
                  <c:v>-104.08382855146455</c:v>
                </c:pt>
                <c:pt idx="417">
                  <c:v>-105.22721886122696</c:v>
                </c:pt>
                <c:pt idx="418">
                  <c:v>-106.3815007474421</c:v>
                </c:pt>
                <c:pt idx="419">
                  <c:v>-107.54612535391276</c:v>
                </c:pt>
                <c:pt idx="420">
                  <c:v>-108.72054341963812</c:v>
                </c:pt>
                <c:pt idx="421">
                  <c:v>-109.90420624770682</c:v>
                </c:pt>
                <c:pt idx="422">
                  <c:v>-111.09656666508248</c:v>
                </c:pt>
                <c:pt idx="423">
                  <c:v>-112.29707997194747</c:v>
                </c:pt>
                <c:pt idx="424">
                  <c:v>-113.50520487923913</c:v>
                </c:pt>
                <c:pt idx="425">
                  <c:v>-114.7204044329881</c:v>
                </c:pt>
                <c:pt idx="426">
                  <c:v>-115.94214692397622</c:v>
                </c:pt>
                <c:pt idx="427">
                  <c:v>-117.169906781135</c:v>
                </c:pt>
                <c:pt idx="428">
                  <c:v>-118.40316544697687</c:v>
                </c:pt>
                <c:pt idx="429">
                  <c:v>-119.64141223321417</c:v>
                </c:pt>
                <c:pt idx="430">
                  <c:v>-120.88414515453891</c:v>
                </c:pt>
                <c:pt idx="431">
                  <c:v>-122.13087173840174</c:v>
                </c:pt>
                <c:pt idx="432">
                  <c:v>-123.38110980843588</c:v>
                </c:pt>
                <c:pt idx="433">
                  <c:v>-124.63438823903952</c:v>
                </c:pt>
                <c:pt idx="434">
                  <c:v>-125.89024767846783</c:v>
                </c:pt>
                <c:pt idx="435">
                  <c:v>-127.14824123767964</c:v>
                </c:pt>
                <c:pt idx="436">
                  <c:v>-128.40793514208647</c:v>
                </c:pt>
                <c:pt idx="437">
                  <c:v>-129.66890934329459</c:v>
                </c:pt>
                <c:pt idx="438">
                  <c:v>-130.93075808790442</c:v>
                </c:pt>
                <c:pt idx="439">
                  <c:v>-132.19309044046355</c:v>
                </c:pt>
                <c:pt idx="440">
                  <c:v>-133.45553075771511</c:v>
                </c:pt>
                <c:pt idx="441">
                  <c:v>-134.71771911141445</c:v>
                </c:pt>
                <c:pt idx="442">
                  <c:v>-135.97931165711586</c:v>
                </c:pt>
                <c:pt idx="443">
                  <c:v>-137.23998094654391</c:v>
                </c:pt>
                <c:pt idx="444">
                  <c:v>-138.49941618139161</c:v>
                </c:pt>
                <c:pt idx="445">
                  <c:v>-139.75732340666266</c:v>
                </c:pt>
                <c:pt idx="446">
                  <c:v>-141.01342564198475</c:v>
                </c:pt>
                <c:pt idx="447">
                  <c:v>-142.26746294964636</c:v>
                </c:pt>
                <c:pt idx="448">
                  <c:v>-143.5191924384749</c:v>
                </c:pt>
                <c:pt idx="449">
                  <c:v>-144.76838820304926</c:v>
                </c:pt>
                <c:pt idx="450">
                  <c:v>-146.0148411981101</c:v>
                </c:pt>
                <c:pt idx="451">
                  <c:v>-147.25835904844209</c:v>
                </c:pt>
                <c:pt idx="452">
                  <c:v>-148.49876579487065</c:v>
                </c:pt>
                <c:pt idx="453">
                  <c:v>-149.735901577421</c:v>
                </c:pt>
                <c:pt idx="454">
                  <c:v>-150.96962225703899</c:v>
                </c:pt>
                <c:pt idx="455">
                  <c:v>-152.19979897765347</c:v>
                </c:pt>
                <c:pt idx="456">
                  <c:v>-153.42631767067388</c:v>
                </c:pt>
                <c:pt idx="457">
                  <c:v>-154.64907850436953</c:v>
                </c:pt>
                <c:pt idx="458">
                  <c:v>-155.86799528084171</c:v>
                </c:pt>
                <c:pt idx="459">
                  <c:v>-157.0829947835839</c:v>
                </c:pt>
                <c:pt idx="460">
                  <c:v>-158.29401607887698</c:v>
                </c:pt>
                <c:pt idx="461">
                  <c:v>-159.50100977446866</c:v>
                </c:pt>
                <c:pt idx="462">
                  <c:v>-160.70393723919531</c:v>
                </c:pt>
                <c:pt idx="463">
                  <c:v>-161.90276978736304</c:v>
                </c:pt>
                <c:pt idx="464">
                  <c:v>-163.09748783185574</c:v>
                </c:pt>
                <c:pt idx="465">
                  <c:v>-164.28808001005237</c:v>
                </c:pt>
                <c:pt idx="466">
                  <c:v>-165.47454228675309</c:v>
                </c:pt>
                <c:pt idx="467">
                  <c:v>-166.65687703837804</c:v>
                </c:pt>
                <c:pt idx="468">
                  <c:v>-167.83509212278653</c:v>
                </c:pt>
                <c:pt idx="469">
                  <c:v>-169.00919993910532</c:v>
                </c:pt>
                <c:pt idx="470">
                  <c:v>-170.17921648199891</c:v>
                </c:pt>
                <c:pt idx="471">
                  <c:v>-171.34516039483631</c:v>
                </c:pt>
                <c:pt idx="472">
                  <c:v>-172.50705202622126</c:v>
                </c:pt>
                <c:pt idx="473">
                  <c:v>-173.66491249436629</c:v>
                </c:pt>
                <c:pt idx="474">
                  <c:v>-174.81876276377005</c:v>
                </c:pt>
                <c:pt idx="475">
                  <c:v>-175.96862273864841</c:v>
                </c:pt>
                <c:pt idx="476">
                  <c:v>-177.11451037753849</c:v>
                </c:pt>
                <c:pt idx="477">
                  <c:v>-178.25644083345182</c:v>
                </c:pt>
                <c:pt idx="478">
                  <c:v>-179.39442562389667</c:v>
                </c:pt>
                <c:pt idx="479">
                  <c:v>179.47152816497962</c:v>
                </c:pt>
                <c:pt idx="480">
                  <c:v>178.34141863596204</c:v>
                </c:pt>
                <c:pt idx="481">
                  <c:v>177.2152497960092</c:v>
                </c:pt>
                <c:pt idx="482">
                  <c:v>176.0930322252284</c:v>
                </c:pt>
                <c:pt idx="483">
                  <c:v>174.97478369582646</c:v>
                </c:pt>
                <c:pt idx="484">
                  <c:v>173.86052973744114</c:v>
                </c:pt>
                <c:pt idx="485">
                  <c:v>172.75030414548124</c:v>
                </c:pt>
                <c:pt idx="486">
                  <c:v>171.64414942933718</c:v>
                </c:pt>
                <c:pt idx="487">
                  <c:v>170.54211719760139</c:v>
                </c:pt>
                <c:pt idx="488">
                  <c:v>169.44426847775156</c:v>
                </c:pt>
                <c:pt idx="489">
                  <c:v>168.35067396807872</c:v>
                </c:pt>
                <c:pt idx="490">
                  <c:v>167.26141422003681</c:v>
                </c:pt>
                <c:pt idx="491">
                  <c:v>166.17657974958814</c:v>
                </c:pt>
                <c:pt idx="492">
                  <c:v>165.09627107656752</c:v>
                </c:pt>
                <c:pt idx="493">
                  <c:v>164.02059869156204</c:v>
                </c:pt>
                <c:pt idx="494">
                  <c:v>162.94968295029713</c:v>
                </c:pt>
                <c:pt idx="495">
                  <c:v>161.88365389604519</c:v>
                </c:pt>
                <c:pt idx="496">
                  <c:v>160.82265101110599</c:v>
                </c:pt>
                <c:pt idx="497">
                  <c:v>159.76682289896084</c:v>
                </c:pt>
                <c:pt idx="498">
                  <c:v>158.71632689925178</c:v>
                </c:pt>
                <c:pt idx="499">
                  <c:v>157.67132863828883</c:v>
                </c:pt>
                <c:pt idx="500">
                  <c:v>156.6320015183274</c:v>
                </c:pt>
                <c:pt idx="501">
                  <c:v>155.59852614937986</c:v>
                </c:pt>
                <c:pt idx="502">
                  <c:v>154.57108972781947</c:v>
                </c:pt>
                <c:pt idx="503">
                  <c:v>153.54988536649614</c:v>
                </c:pt>
                <c:pt idx="504">
                  <c:v>152.53511138150409</c:v>
                </c:pt>
                <c:pt idx="505">
                  <c:v>151.52697054110607</c:v>
                </c:pt>
                <c:pt idx="506">
                  <c:v>150.52566928263977</c:v>
                </c:pt>
                <c:pt idx="507">
                  <c:v>149.53141690348369</c:v>
                </c:pt>
                <c:pt idx="508">
                  <c:v>148.54442473233854</c:v>
                </c:pt>
                <c:pt idx="509">
                  <c:v>147.56490528721173</c:v>
                </c:pt>
                <c:pt idx="510">
                  <c:v>146.59307142652969</c:v>
                </c:pt>
                <c:pt idx="511">
                  <c:v>145.62913549977549</c:v>
                </c:pt>
                <c:pt idx="512">
                  <c:v>144.67330850396181</c:v>
                </c:pt>
                <c:pt idx="513">
                  <c:v>143.72579925206009</c:v>
                </c:pt>
                <c:pt idx="514">
                  <c:v>142.78681355929976</c:v>
                </c:pt>
                <c:pt idx="515">
                  <c:v>141.85655345292218</c:v>
                </c:pt>
                <c:pt idx="516">
                  <c:v>140.93521641064189</c:v>
                </c:pt>
                <c:pt idx="517">
                  <c:v>140.02299463264549</c:v>
                </c:pt>
                <c:pt idx="518">
                  <c:v>139.12007435151963</c:v>
                </c:pt>
                <c:pt idx="519">
                  <c:v>138.22663518399219</c:v>
                </c:pt>
                <c:pt idx="520">
                  <c:v>137.34284952789056</c:v>
                </c:pt>
                <c:pt idx="521">
                  <c:v>136.4688820071444</c:v>
                </c:pt>
                <c:pt idx="522">
                  <c:v>135.60488896715259</c:v>
                </c:pt>
                <c:pt idx="523">
                  <c:v>134.75101802226078</c:v>
                </c:pt>
                <c:pt idx="524">
                  <c:v>133.90740765656719</c:v>
                </c:pt>
                <c:pt idx="525">
                  <c:v>133.07418687873772</c:v>
                </c:pt>
                <c:pt idx="526">
                  <c:v>132.25147493101355</c:v>
                </c:pt>
                <c:pt idx="527">
                  <c:v>131.43938105208517</c:v>
                </c:pt>
                <c:pt idx="528">
                  <c:v>130.63800429308674</c:v>
                </c:pt>
                <c:pt idx="529">
                  <c:v>129.84743338551399</c:v>
                </c:pt>
                <c:pt idx="530">
                  <c:v>129.06774665951991</c:v>
                </c:pt>
                <c:pt idx="531">
                  <c:v>128.29901201067872</c:v>
                </c:pt>
                <c:pt idx="532">
                  <c:v>127.54128691302873</c:v>
                </c:pt>
                <c:pt idx="533">
                  <c:v>126.7946184759514</c:v>
                </c:pt>
                <c:pt idx="534">
                  <c:v>126.05904354223219</c:v>
                </c:pt>
                <c:pt idx="535">
                  <c:v>125.33458882448994</c:v>
                </c:pt>
                <c:pt idx="536">
                  <c:v>124.62127107703553</c:v>
                </c:pt>
                <c:pt idx="537">
                  <c:v>123.91909730013589</c:v>
                </c:pt>
                <c:pt idx="538">
                  <c:v>123.22806497362241</c:v>
                </c:pt>
                <c:pt idx="539">
                  <c:v>122.54816231676307</c:v>
                </c:pt>
                <c:pt idx="540">
                  <c:v>121.87936857134443</c:v>
                </c:pt>
                <c:pt idx="541">
                  <c:v>121.22165430495704</c:v>
                </c:pt>
              </c:numCache>
            </c:numRef>
          </c:yVal>
          <c:smooth val="1"/>
          <c:extLst>
            <c:ext xmlns:c16="http://schemas.microsoft.com/office/drawing/2014/chart" uri="{C3380CC4-5D6E-409C-BE32-E72D297353CC}">
              <c16:uniqueId val="{00000001-B561-4C80-890B-643E0BF90D63}"/>
            </c:ext>
          </c:extLst>
        </c:ser>
        <c:dLbls>
          <c:showLegendKey val="0"/>
          <c:showVal val="0"/>
          <c:showCatName val="0"/>
          <c:showSerName val="0"/>
          <c:showPercent val="0"/>
          <c:showBubbleSize val="0"/>
        </c:dLbls>
        <c:axId val="162527872"/>
        <c:axId val="162526336"/>
      </c:scatterChart>
      <c:valAx>
        <c:axId val="162497664"/>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162499584"/>
        <c:crosses val="autoZero"/>
        <c:crossBetween val="midCat"/>
      </c:valAx>
      <c:valAx>
        <c:axId val="162499584"/>
        <c:scaling>
          <c:orientation val="minMax"/>
          <c:max val="40"/>
          <c:min val="-40"/>
        </c:scaling>
        <c:delete val="0"/>
        <c:axPos val="l"/>
        <c:majorGridlines/>
        <c:minorGridlines/>
        <c:title>
          <c:tx>
            <c:rich>
              <a:bodyPr rot="-5400000" vert="horz"/>
              <a:lstStyle/>
              <a:p>
                <a:pPr>
                  <a:defRPr/>
                </a:pPr>
                <a:r>
                  <a:rPr lang="en-US"/>
                  <a:t>Gain</a:t>
                </a:r>
                <a:r>
                  <a:rPr lang="en-US" baseline="0"/>
                  <a:t> (dB)</a:t>
                </a:r>
                <a:endParaRPr lang="en-US"/>
              </a:p>
            </c:rich>
          </c:tx>
          <c:overlay val="0"/>
        </c:title>
        <c:numFmt formatCode="General" sourceLinked="0"/>
        <c:majorTickMark val="out"/>
        <c:minorTickMark val="none"/>
        <c:tickLblPos val="nextTo"/>
        <c:crossAx val="162497664"/>
        <c:crosses val="autoZero"/>
        <c:crossBetween val="midCat"/>
        <c:majorUnit val="20"/>
        <c:minorUnit val="10"/>
      </c:valAx>
      <c:valAx>
        <c:axId val="162526336"/>
        <c:scaling>
          <c:orientation val="minMax"/>
          <c:max val="180"/>
          <c:min val="-180"/>
        </c:scaling>
        <c:delete val="0"/>
        <c:axPos val="r"/>
        <c:numFmt formatCode="General" sourceLinked="1"/>
        <c:majorTickMark val="out"/>
        <c:minorTickMark val="none"/>
        <c:tickLblPos val="nextTo"/>
        <c:crossAx val="162527872"/>
        <c:crosses val="max"/>
        <c:crossBetween val="midCat"/>
        <c:majorUnit val="90"/>
        <c:minorUnit val="45"/>
      </c:valAx>
      <c:valAx>
        <c:axId val="162527872"/>
        <c:scaling>
          <c:logBase val="10"/>
          <c:orientation val="minMax"/>
        </c:scaling>
        <c:delete val="1"/>
        <c:axPos val="b"/>
        <c:numFmt formatCode="0.00" sourceLinked="1"/>
        <c:majorTickMark val="out"/>
        <c:minorTickMark val="none"/>
        <c:tickLblPos val="nextTo"/>
        <c:crossAx val="162526336"/>
        <c:crosses val="autoZero"/>
        <c:crossBetween val="midCat"/>
      </c:valAx>
    </c:plotArea>
    <c:legend>
      <c:legendPos val="r"/>
      <c:layout>
        <c:manualLayout>
          <c:xMode val="edge"/>
          <c:yMode val="edge"/>
          <c:x val="0.79880558209512509"/>
          <c:y val="0.14321997959862004"/>
          <c:w val="0.13459449276057311"/>
          <c:h val="0.10691609861199437"/>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Error</a:t>
            </a:r>
            <a:r>
              <a:rPr lang="en-US" baseline="0"/>
              <a:t> Amplifier Transfer</a:t>
            </a:r>
          </a:p>
        </c:rich>
      </c:tx>
      <c:overlay val="0"/>
    </c:title>
    <c:autoTitleDeleted val="0"/>
    <c:plotArea>
      <c:layout/>
      <c:scatterChart>
        <c:scatterStyle val="smoothMarker"/>
        <c:varyColors val="0"/>
        <c:ser>
          <c:idx val="0"/>
          <c:order val="0"/>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Loop_Modeling!$AQ$19:$AQ$560</c:f>
              <c:numCache>
                <c:formatCode>General</c:formatCode>
                <c:ptCount val="542"/>
                <c:pt idx="0">
                  <c:v>40.378871158922351</c:v>
                </c:pt>
                <c:pt idx="1">
                  <c:v>40.180756871564171</c:v>
                </c:pt>
                <c:pt idx="2">
                  <c:v>39.982730577846787</c:v>
                </c:pt>
                <c:pt idx="3">
                  <c:v>39.784796341020986</c:v>
                </c:pt>
                <c:pt idx="4">
                  <c:v>39.586958407879585</c:v>
                </c:pt>
                <c:pt idx="5">
                  <c:v>39.389221216659095</c:v>
                </c:pt>
                <c:pt idx="6">
                  <c:v>39.191589405243839</c:v>
                </c:pt>
                <c:pt idx="7">
                  <c:v>38.994067819681469</c:v>
                </c:pt>
                <c:pt idx="8">
                  <c:v>38.796661523016517</c:v>
                </c:pt>
                <c:pt idx="9">
                  <c:v>38.599375804450389</c:v>
                </c:pt>
                <c:pt idx="10">
                  <c:v>38.402216188835055</c:v>
                </c:pt>
                <c:pt idx="11">
                  <c:v>38.205188446506526</c:v>
                </c:pt>
                <c:pt idx="12">
                  <c:v>38.008298603465526</c:v>
                </c:pt>
                <c:pt idx="13">
                  <c:v>37.811552951910805</c:v>
                </c:pt>
                <c:pt idx="14">
                  <c:v>37.614958061130245</c:v>
                </c:pt>
                <c:pt idx="15">
                  <c:v>37.418520788755558</c:v>
                </c:pt>
                <c:pt idx="16">
                  <c:v>37.222248292382559</c:v>
                </c:pt>
                <c:pt idx="17">
                  <c:v>37.026148041561711</c:v>
                </c:pt>
                <c:pt idx="18">
                  <c:v>36.830227830160119</c:v>
                </c:pt>
                <c:pt idx="19">
                  <c:v>36.63449578909534</c:v>
                </c:pt>
                <c:pt idx="20">
                  <c:v>36.438960399441115</c:v>
                </c:pt>
                <c:pt idx="21">
                  <c:v>36.24363050590263</c:v>
                </c:pt>
                <c:pt idx="22">
                  <c:v>36.048515330657416</c:v>
                </c:pt>
                <c:pt idx="23">
                  <c:v>35.853624487556871</c:v>
                </c:pt>
                <c:pt idx="24">
                  <c:v>35.658967996680147</c:v>
                </c:pt>
                <c:pt idx="25">
                  <c:v>35.464556299231049</c:v>
                </c:pt>
                <c:pt idx="26">
                  <c:v>35.270400272765691</c:v>
                </c:pt>
                <c:pt idx="27">
                  <c:v>35.076511246735997</c:v>
                </c:pt>
                <c:pt idx="28">
                  <c:v>34.882901018330216</c:v>
                </c:pt>
                <c:pt idx="29">
                  <c:v>34.689581868591446</c:v>
                </c:pt>
                <c:pt idx="30">
                  <c:v>34.496566578787238</c:v>
                </c:pt>
                <c:pt idx="31">
                  <c:v>34.303868447003325</c:v>
                </c:pt>
                <c:pt idx="32">
                  <c:v>34.111501304929263</c:v>
                </c:pt>
                <c:pt idx="33">
                  <c:v>33.919479534798143</c:v>
                </c:pt>
                <c:pt idx="34">
                  <c:v>33.727818086439569</c:v>
                </c:pt>
                <c:pt idx="35">
                  <c:v>33.536532494399943</c:v>
                </c:pt>
                <c:pt idx="36">
                  <c:v>33.345638895076647</c:v>
                </c:pt>
                <c:pt idx="37">
                  <c:v>33.155154043810249</c:v>
                </c:pt>
                <c:pt idx="38">
                  <c:v>32.965095331870089</c:v>
                </c:pt>
                <c:pt idx="39">
                  <c:v>32.775480803263427</c:v>
                </c:pt>
                <c:pt idx="40">
                  <c:v>32.58632917129168</c:v>
                </c:pt>
                <c:pt idx="41">
                  <c:v>32.397659834769762</c:v>
                </c:pt>
                <c:pt idx="42">
                  <c:v>32.209492893817561</c:v>
                </c:pt>
                <c:pt idx="43">
                  <c:v>32.021849165124891</c:v>
                </c:pt>
                <c:pt idx="44">
                  <c:v>31.834750196583123</c:v>
                </c:pt>
                <c:pt idx="45">
                  <c:v>31.648218281168784</c:v>
                </c:pt>
                <c:pt idx="46">
                  <c:v>31.462276469956741</c:v>
                </c:pt>
                <c:pt idx="47">
                  <c:v>31.276948584130771</c:v>
                </c:pt>
                <c:pt idx="48">
                  <c:v>31.092259225852409</c:v>
                </c:pt>
                <c:pt idx="49">
                  <c:v>30.908233787839592</c:v>
                </c:pt>
                <c:pt idx="50">
                  <c:v>30.724898461498299</c:v>
                </c:pt>
                <c:pt idx="51">
                  <c:v>30.542280243443443</c:v>
                </c:pt>
                <c:pt idx="52">
                  <c:v>30.360406940235091</c:v>
                </c:pt>
                <c:pt idx="53">
                  <c:v>30.17930717115167</c:v>
                </c:pt>
                <c:pt idx="54">
                  <c:v>29.999010368812392</c:v>
                </c:pt>
                <c:pt idx="55">
                  <c:v>29.819546777456448</c:v>
                </c:pt>
                <c:pt idx="56">
                  <c:v>29.640947448681082</c:v>
                </c:pt>
                <c:pt idx="57">
                  <c:v>29.463244234436033</c:v>
                </c:pt>
                <c:pt idx="58">
                  <c:v>29.286469777069257</c:v>
                </c:pt>
                <c:pt idx="59">
                  <c:v>29.110657496217449</c:v>
                </c:pt>
                <c:pt idx="60">
                  <c:v>28.935841572333803</c:v>
                </c:pt>
                <c:pt idx="61">
                  <c:v>28.762056926649681</c:v>
                </c:pt>
                <c:pt idx="62">
                  <c:v>28.589339197368155</c:v>
                </c:pt>
                <c:pt idx="63">
                  <c:v>28.417724711895552</c:v>
                </c:pt>
                <c:pt idx="64">
                  <c:v>28.247250454925243</c:v>
                </c:pt>
                <c:pt idx="65">
                  <c:v>28.077954032198832</c:v>
                </c:pt>
                <c:pt idx="66">
                  <c:v>27.90987362978505</c:v>
                </c:pt>
                <c:pt idx="67">
                  <c:v>27.743047968733251</c:v>
                </c:pt>
                <c:pt idx="68">
                  <c:v>27.577516254979493</c:v>
                </c:pt>
                <c:pt idx="69">
                  <c:v>27.413318124406132</c:v>
                </c:pt>
                <c:pt idx="70">
                  <c:v>27.250493582984177</c:v>
                </c:pt>
                <c:pt idx="71">
                  <c:v>27.089082941957283</c:v>
                </c:pt>
                <c:pt idx="72">
                  <c:v>26.929126748061059</c:v>
                </c:pt>
                <c:pt idx="73">
                  <c:v>26.770665708808284</c:v>
                </c:pt>
                <c:pt idx="74">
                  <c:v>26.613740612911062</c:v>
                </c:pt>
                <c:pt idx="75">
                  <c:v>26.458392245955615</c:v>
                </c:pt>
                <c:pt idx="76">
                  <c:v>26.30466130149005</c:v>
                </c:pt>
                <c:pt idx="77">
                  <c:v>26.15258828773608</c:v>
                </c:pt>
                <c:pt idx="78">
                  <c:v>26.002213430184437</c:v>
                </c:pt>
                <c:pt idx="79">
                  <c:v>25.853576570387538</c:v>
                </c:pt>
                <c:pt idx="80">
                  <c:v>25.706717061314258</c:v>
                </c:pt>
                <c:pt idx="81">
                  <c:v>25.561673659686019</c:v>
                </c:pt>
                <c:pt idx="82">
                  <c:v>25.418484415765189</c:v>
                </c:pt>
                <c:pt idx="83">
                  <c:v>25.277186561117301</c:v>
                </c:pt>
                <c:pt idx="84">
                  <c:v>25.137816394919362</c:v>
                </c:pt>
                <c:pt idx="85">
                  <c:v>25.000409169429307</c:v>
                </c:pt>
                <c:pt idx="86">
                  <c:v>24.864998975275917</c:v>
                </c:pt>
                <c:pt idx="87">
                  <c:v>24.731618627263838</c:v>
                </c:pt>
                <c:pt idx="88">
                  <c:v>24.600299551419013</c:v>
                </c:pt>
                <c:pt idx="89">
                  <c:v>24.471071674025254</c:v>
                </c:pt>
                <c:pt idx="90">
                  <c:v>24.343963313417774</c:v>
                </c:pt>
                <c:pt idx="91">
                  <c:v>24.219001075309716</c:v>
                </c:pt>
                <c:pt idx="92">
                  <c:v>24.096209752425757</c:v>
                </c:pt>
                <c:pt idx="93">
                  <c:v>23.975612229209823</c:v>
                </c:pt>
                <c:pt idx="94">
                  <c:v>23.857229392352906</c:v>
                </c:pt>
                <c:pt idx="95">
                  <c:v>23.741080047860322</c:v>
                </c:pt>
                <c:pt idx="96">
                  <c:v>23.627180845338486</c:v>
                </c:pt>
                <c:pt idx="97">
                  <c:v>23.515546210135611</c:v>
                </c:pt>
                <c:pt idx="98">
                  <c:v>23.406188283913018</c:v>
                </c:pt>
                <c:pt idx="99">
                  <c:v>23.299116874160379</c:v>
                </c:pt>
                <c:pt idx="100">
                  <c:v>23.194339413095548</c:v>
                </c:pt>
                <c:pt idx="101">
                  <c:v>23.091860926312137</c:v>
                </c:pt>
                <c:pt idx="102">
                  <c:v>22.991684011453145</c:v>
                </c:pt>
                <c:pt idx="103">
                  <c:v>22.893808827100596</c:v>
                </c:pt>
                <c:pt idx="104">
                  <c:v>22.79823309198148</c:v>
                </c:pt>
                <c:pt idx="105">
                  <c:v>22.704952094495834</c:v>
                </c:pt>
                <c:pt idx="106">
                  <c:v>22.613958712481281</c:v>
                </c:pt>
                <c:pt idx="107">
                  <c:v>22.525243443036604</c:v>
                </c:pt>
                <c:pt idx="108">
                  <c:v>22.438794442137926</c:v>
                </c:pt>
                <c:pt idx="109">
                  <c:v>22.354597573697017</c:v>
                </c:pt>
                <c:pt idx="110">
                  <c:v>22.272636467631514</c:v>
                </c:pt>
                <c:pt idx="111">
                  <c:v>22.192892586443339</c:v>
                </c:pt>
                <c:pt idx="112">
                  <c:v>22.11534529973774</c:v>
                </c:pt>
                <c:pt idx="113">
                  <c:v>22.039971966055994</c:v>
                </c:pt>
                <c:pt idx="114">
                  <c:v>21.966748021347335</c:v>
                </c:pt>
                <c:pt idx="115">
                  <c:v>21.895647073366383</c:v>
                </c:pt>
                <c:pt idx="116">
                  <c:v>21.826641001252085</c:v>
                </c:pt>
                <c:pt idx="117">
                  <c:v>21.759700059524974</c:v>
                </c:pt>
                <c:pt idx="118">
                  <c:v>21.694792985727144</c:v>
                </c:pt>
                <c:pt idx="119">
                  <c:v>21.631887110929906</c:v>
                </c:pt>
                <c:pt idx="120">
                  <c:v>21.570948472340007</c:v>
                </c:pt>
                <c:pt idx="121">
                  <c:v>21.511941927251684</c:v>
                </c:pt>
                <c:pt idx="122">
                  <c:v>21.454831267613876</c:v>
                </c:pt>
                <c:pt idx="123">
                  <c:v>21.399579334513984</c:v>
                </c:pt>
                <c:pt idx="124">
                  <c:v>21.346148131912159</c:v>
                </c:pt>
                <c:pt idx="125">
                  <c:v>21.294498939004537</c:v>
                </c:pt>
                <c:pt idx="126">
                  <c:v>21.244592420636792</c:v>
                </c:pt>
                <c:pt idx="127">
                  <c:v>21.19638873523791</c:v>
                </c:pt>
                <c:pt idx="128">
                  <c:v>21.149847639795315</c:v>
                </c:pt>
                <c:pt idx="129">
                  <c:v>21.10492859144605</c:v>
                </c:pt>
                <c:pt idx="130">
                  <c:v>21.061590845308412</c:v>
                </c:pt>
                <c:pt idx="131">
                  <c:v>21.01979354823446</c:v>
                </c:pt>
                <c:pt idx="132">
                  <c:v>20.979495828214716</c:v>
                </c:pt>
                <c:pt idx="133">
                  <c:v>20.940656879217869</c:v>
                </c:pt>
                <c:pt idx="134">
                  <c:v>20.903236041295262</c:v>
                </c:pt>
                <c:pt idx="135">
                  <c:v>20.867192875830753</c:v>
                </c:pt>
                <c:pt idx="136">
                  <c:v>20.832487235855929</c:v>
                </c:pt>
                <c:pt idx="137">
                  <c:v>20.799079331394822</c:v>
                </c:pt>
                <c:pt idx="138">
                  <c:v>20.766929789838656</c:v>
                </c:pt>
                <c:pt idx="139">
                  <c:v>20.735999711387159</c:v>
                </c:pt>
                <c:pt idx="140">
                  <c:v>20.706250719621266</c:v>
                </c:pt>
                <c:pt idx="141">
                  <c:v>20.677645007303646</c:v>
                </c:pt>
                <c:pt idx="142">
                  <c:v>20.650145377523575</c:v>
                </c:pt>
                <c:pt idx="143">
                  <c:v>20.623715280327485</c:v>
                </c:pt>
                <c:pt idx="144">
                  <c:v>20.598318844991258</c:v>
                </c:pt>
                <c:pt idx="145">
                  <c:v>20.573920908106729</c:v>
                </c:pt>
                <c:pt idx="146">
                  <c:v>20.550487037665867</c:v>
                </c:pt>
                <c:pt idx="147">
                  <c:v>20.527983553336231</c:v>
                </c:pt>
                <c:pt idx="148">
                  <c:v>20.506377543125577</c:v>
                </c:pt>
                <c:pt idx="149">
                  <c:v>20.485636876640623</c:v>
                </c:pt>
                <c:pt idx="150">
                  <c:v>20.465730215145307</c:v>
                </c:pt>
                <c:pt idx="151">
                  <c:v>20.446627018624479</c:v>
                </c:pt>
                <c:pt idx="152">
                  <c:v>20.428297550057746</c:v>
                </c:pt>
                <c:pt idx="153">
                  <c:v>20.41071287710627</c:v>
                </c:pt>
                <c:pt idx="154">
                  <c:v>20.39384487140909</c:v>
                </c:pt>
                <c:pt idx="155">
                  <c:v>20.377666205682949</c:v>
                </c:pt>
                <c:pt idx="156">
                  <c:v>20.362150348811767</c:v>
                </c:pt>
                <c:pt idx="157">
                  <c:v>20.347271559105629</c:v>
                </c:pt>
                <c:pt idx="158">
                  <c:v>20.333004875902802</c:v>
                </c:pt>
                <c:pt idx="159">
                  <c:v>20.319326109677746</c:v>
                </c:pt>
                <c:pt idx="160">
                  <c:v>20.30621183081437</c:v>
                </c:pt>
                <c:pt idx="161">
                  <c:v>20.293639357190333</c:v>
                </c:pt>
                <c:pt idx="162">
                  <c:v>20.281586740713827</c:v>
                </c:pt>
                <c:pt idx="163">
                  <c:v>20.270032752943841</c:v>
                </c:pt>
                <c:pt idx="164">
                  <c:v>20.258956869916538</c:v>
                </c:pt>
                <c:pt idx="165">
                  <c:v>20.248339256292649</c:v>
                </c:pt>
                <c:pt idx="166">
                  <c:v>20.238160748931683</c:v>
                </c:pt>
                <c:pt idx="167">
                  <c:v>20.228402839992544</c:v>
                </c:pt>
                <c:pt idx="168">
                  <c:v>20.219047659649753</c:v>
                </c:pt>
                <c:pt idx="169">
                  <c:v>20.210077958509679</c:v>
                </c:pt>
                <c:pt idx="170">
                  <c:v>20.201477089802381</c:v>
                </c:pt>
                <c:pt idx="171">
                  <c:v>20.193228991417939</c:v>
                </c:pt>
                <c:pt idx="172">
                  <c:v>20.185318167851062</c:v>
                </c:pt>
                <c:pt idx="173">
                  <c:v>20.177729672109624</c:v>
                </c:pt>
                <c:pt idx="174">
                  <c:v>20.170449087637778</c:v>
                </c:pt>
                <c:pt idx="175">
                  <c:v>20.163462510299915</c:v>
                </c:pt>
                <c:pt idx="176">
                  <c:v>20.156756530464392</c:v>
                </c:pt>
                <c:pt idx="177">
                  <c:v>20.150318215222896</c:v>
                </c:pt>
                <c:pt idx="178">
                  <c:v>20.144135090775954</c:v>
                </c:pt>
                <c:pt idx="179">
                  <c:v>20.138195125011357</c:v>
                </c:pt>
                <c:pt idx="180">
                  <c:v>20.132486710297432</c:v>
                </c:pt>
                <c:pt idx="181">
                  <c:v>20.12699864651108</c:v>
                </c:pt>
                <c:pt idx="182">
                  <c:v>20.121720124315353</c:v>
                </c:pt>
                <c:pt idx="183">
                  <c:v>20.116640708699652</c:v>
                </c:pt>
                <c:pt idx="184">
                  <c:v>20.111750322791728</c:v>
                </c:pt>
                <c:pt idx="185">
                  <c:v>20.107039231949663</c:v>
                </c:pt>
                <c:pt idx="186">
                  <c:v>20.102498028136523</c:v>
                </c:pt>
                <c:pt idx="187">
                  <c:v>20.098117614582822</c:v>
                </c:pt>
                <c:pt idx="188">
                  <c:v>20.093889190734544</c:v>
                </c:pt>
                <c:pt idx="189">
                  <c:v>20.089804237487819</c:v>
                </c:pt>
                <c:pt idx="190">
                  <c:v>20.085854502705921</c:v>
                </c:pt>
                <c:pt idx="191">
                  <c:v>20.082031987014453</c:v>
                </c:pt>
                <c:pt idx="192">
                  <c:v>20.078328929869119</c:v>
                </c:pt>
                <c:pt idx="193">
                  <c:v>20.074737795889078</c:v>
                </c:pt>
                <c:pt idx="194">
                  <c:v>20.07125126144766</c:v>
                </c:pt>
                <c:pt idx="195">
                  <c:v>20.067862201511421</c:v>
                </c:pt>
                <c:pt idx="196">
                  <c:v>20.064563676717913</c:v>
                </c:pt>
                <c:pt idx="197">
                  <c:v>20.061348920680892</c:v>
                </c:pt>
                <c:pt idx="198">
                  <c:v>20.05821132751198</c:v>
                </c:pt>
                <c:pt idx="199">
                  <c:v>20.055144439546741</c:v>
                </c:pt>
                <c:pt idx="200">
                  <c:v>20.052141935262458</c:v>
                </c:pt>
                <c:pt idx="201">
                  <c:v>20.049197617374354</c:v>
                </c:pt>
                <c:pt idx="202">
                  <c:v>20.046305401097513</c:v>
                </c:pt>
                <c:pt idx="203">
                  <c:v>20.043459302559626</c:v>
                </c:pt>
                <c:pt idx="204">
                  <c:v>20.040653427351359</c:v>
                </c:pt>
                <c:pt idx="205">
                  <c:v>20.037881959199272</c:v>
                </c:pt>
                <c:pt idx="206">
                  <c:v>20.035139148746982</c:v>
                </c:pt>
                <c:pt idx="207">
                  <c:v>20.032419302429233</c:v>
                </c:pt>
                <c:pt idx="208">
                  <c:v>20.029716771424347</c:v>
                </c:pt>
                <c:pt idx="209">
                  <c:v>20.027025940669532</c:v>
                </c:pt>
                <c:pt idx="210">
                  <c:v>20.024341217924238</c:v>
                </c:pt>
                <c:pt idx="211">
                  <c:v>20.02165702286511</c:v>
                </c:pt>
                <c:pt idx="212">
                  <c:v>20.018967776198476</c:v>
                </c:pt>
                <c:pt idx="213">
                  <c:v>20.01626788877434</c:v>
                </c:pt>
                <c:pt idx="214">
                  <c:v>20.013551750685558</c:v>
                </c:pt>
                <c:pt idx="215">
                  <c:v>20.010813720338852</c:v>
                </c:pt>
                <c:pt idx="216">
                  <c:v>20.008048113479639</c:v>
                </c:pt>
                <c:pt idx="217">
                  <c:v>20.005249192158473</c:v>
                </c:pt>
                <c:pt idx="218">
                  <c:v>20.002411153620102</c:v>
                </c:pt>
                <c:pt idx="219">
                  <c:v>19.999528119104266</c:v>
                </c:pt>
                <c:pt idx="220">
                  <c:v>19.996594122539761</c:v>
                </c:pt>
                <c:pt idx="221">
                  <c:v>19.993603099119127</c:v>
                </c:pt>
                <c:pt idx="222">
                  <c:v>19.990548873738511</c:v>
                </c:pt>
                <c:pt idx="223">
                  <c:v>19.987425149289336</c:v>
                </c:pt>
                <c:pt idx="224">
                  <c:v>19.984225494786919</c:v>
                </c:pt>
                <c:pt idx="225">
                  <c:v>19.980943333322639</c:v>
                </c:pt>
                <c:pt idx="226">
                  <c:v>19.977571929828045</c:v>
                </c:pt>
                <c:pt idx="227">
                  <c:v>19.974104378635428</c:v>
                </c:pt>
                <c:pt idx="228">
                  <c:v>19.970533590825063</c:v>
                </c:pt>
                <c:pt idx="229">
                  <c:v>19.966852281347101</c:v>
                </c:pt>
                <c:pt idx="230">
                  <c:v>19.963052955906125</c:v>
                </c:pt>
                <c:pt idx="231">
                  <c:v>19.959127897600155</c:v>
                </c:pt>
                <c:pt idx="232">
                  <c:v>19.955069153302631</c:v>
                </c:pt>
                <c:pt idx="233">
                  <c:v>19.9508685197818</c:v>
                </c:pt>
                <c:pt idx="234">
                  <c:v>19.946517529547286</c:v>
                </c:pt>
                <c:pt idx="235">
                  <c:v>19.942007436420553</c:v>
                </c:pt>
                <c:pt idx="236">
                  <c:v>19.937329200823001</c:v>
                </c:pt>
                <c:pt idx="237">
                  <c:v>19.932473474778355</c:v>
                </c:pt>
                <c:pt idx="238">
                  <c:v>19.927430586629555</c:v>
                </c:pt>
                <c:pt idx="239">
                  <c:v>19.922190525467343</c:v>
                </c:pt>
                <c:pt idx="240">
                  <c:v>19.91674292527545</c:v>
                </c:pt>
                <c:pt idx="241">
                  <c:v>19.911077048795399</c:v>
                </c:pt>
                <c:pt idx="242">
                  <c:v>19.905181771117093</c:v>
                </c:pt>
                <c:pt idx="243">
                  <c:v>19.89904556300559</c:v>
                </c:pt>
                <c:pt idx="244">
                  <c:v>19.892656473974945</c:v>
                </c:pt>
                <c:pt idx="245">
                  <c:v>19.886002115124633</c:v>
                </c:pt>
                <c:pt idx="246">
                  <c:v>19.879069641757109</c:v>
                </c:pt>
                <c:pt idx="247">
                  <c:v>19.871845735797976</c:v>
                </c:pt>
                <c:pt idx="248">
                  <c:v>19.864316588044083</c:v>
                </c:pt>
                <c:pt idx="249">
                  <c:v>19.856467880271069</c:v>
                </c:pt>
                <c:pt idx="250">
                  <c:v>19.848284767232602</c:v>
                </c:pt>
                <c:pt idx="251">
                  <c:v>19.839751858592138</c:v>
                </c:pt>
                <c:pt idx="252">
                  <c:v>19.830853200830379</c:v>
                </c:pt>
                <c:pt idx="253">
                  <c:v>19.821572259178776</c:v>
                </c:pt>
                <c:pt idx="254">
                  <c:v>19.81189189963407</c:v>
                </c:pt>
                <c:pt idx="255">
                  <c:v>19.801794371115477</c:v>
                </c:pt>
                <c:pt idx="256">
                  <c:v>19.791261287832999</c:v>
                </c:pt>
                <c:pt idx="257">
                  <c:v>19.780273611940313</c:v>
                </c:pt>
                <c:pt idx="258">
                  <c:v>19.768811636556592</c:v>
                </c:pt>
                <c:pt idx="259">
                  <c:v>19.756854969243143</c:v>
                </c:pt>
                <c:pt idx="260">
                  <c:v>19.744382516034914</c:v>
                </c:pt>
                <c:pt idx="261">
                  <c:v>19.731372466129542</c:v>
                </c:pt>
                <c:pt idx="262">
                  <c:v>19.717802277348486</c:v>
                </c:pt>
                <c:pt idx="263">
                  <c:v>19.703648662490412</c:v>
                </c:pt>
                <c:pt idx="264">
                  <c:v>19.688887576706975</c:v>
                </c:pt>
                <c:pt idx="265">
                  <c:v>19.673494206039869</c:v>
                </c:pt>
                <c:pt idx="266">
                  <c:v>19.657442957264454</c:v>
                </c:pt>
                <c:pt idx="267">
                  <c:v>19.640707449197109</c:v>
                </c:pt>
                <c:pt idx="268">
                  <c:v>19.623260505627151</c:v>
                </c:pt>
                <c:pt idx="269">
                  <c:v>19.605074150046946</c:v>
                </c:pt>
                <c:pt idx="270">
                  <c:v>19.586119602356668</c:v>
                </c:pt>
                <c:pt idx="271">
                  <c:v>19.566367277730869</c:v>
                </c:pt>
                <c:pt idx="272">
                  <c:v>19.545786787837756</c:v>
                </c:pt>
                <c:pt idx="273">
                  <c:v>19.524346944608286</c:v>
                </c:pt>
                <c:pt idx="274">
                  <c:v>19.502015766756248</c:v>
                </c:pt>
                <c:pt idx="275">
                  <c:v>19.4787604892541</c:v>
                </c:pt>
                <c:pt idx="276">
                  <c:v>19.454547575970455</c:v>
                </c:pt>
                <c:pt idx="277">
                  <c:v>19.429342735674751</c:v>
                </c:pt>
                <c:pt idx="278">
                  <c:v>19.403110941613832</c:v>
                </c:pt>
                <c:pt idx="279">
                  <c:v>19.375816454860431</c:v>
                </c:pt>
                <c:pt idx="280">
                  <c:v>19.347422851628199</c:v>
                </c:pt>
                <c:pt idx="281">
                  <c:v>19.317893054738363</c:v>
                </c:pt>
                <c:pt idx="282">
                  <c:v>19.287189369413124</c:v>
                </c:pt>
                <c:pt idx="283">
                  <c:v>19.255273523555211</c:v>
                </c:pt>
                <c:pt idx="284">
                  <c:v>19.222106712657524</c:v>
                </c:pt>
                <c:pt idx="285">
                  <c:v>19.187649649465218</c:v>
                </c:pt>
                <c:pt idx="286">
                  <c:v>19.151862618489595</c:v>
                </c:pt>
                <c:pt idx="287">
                  <c:v>19.114705535445786</c:v>
                </c:pt>
                <c:pt idx="288">
                  <c:v>19.076138011655942</c:v>
                </c:pt>
                <c:pt idx="289">
                  <c:v>19.03611942342598</c:v>
                </c:pt>
                <c:pt idx="290">
                  <c:v>18.994608986365741</c:v>
                </c:pt>
                <c:pt idx="291">
                  <c:v>18.951565834583572</c:v>
                </c:pt>
                <c:pt idx="292">
                  <c:v>18.906949104641459</c:v>
                </c:pt>
                <c:pt idx="293">
                  <c:v>18.860718024111009</c:v>
                </c:pt>
                <c:pt idx="294">
                  <c:v>18.812832004522392</c:v>
                </c:pt>
                <c:pt idx="295">
                  <c:v>18.763250738447429</c:v>
                </c:pt>
                <c:pt idx="296">
                  <c:v>18.711934300406238</c:v>
                </c:pt>
                <c:pt idx="297">
                  <c:v>18.658843251233112</c:v>
                </c:pt>
                <c:pt idx="298">
                  <c:v>18.603938745486136</c:v>
                </c:pt>
                <c:pt idx="299">
                  <c:v>18.5471826414304</c:v>
                </c:pt>
                <c:pt idx="300">
                  <c:v>18.488537613074968</c:v>
                </c:pt>
                <c:pt idx="301">
                  <c:v>18.427967263694779</c:v>
                </c:pt>
                <c:pt idx="302">
                  <c:v>18.365436240222014</c:v>
                </c:pt>
                <c:pt idx="303">
                  <c:v>18.300910347850291</c:v>
                </c:pt>
                <c:pt idx="304">
                  <c:v>18.234356664158199</c:v>
                </c:pt>
                <c:pt idx="305">
                  <c:v>18.16574365202754</c:v>
                </c:pt>
                <c:pt idx="306">
                  <c:v>18.095041270606234</c:v>
                </c:pt>
                <c:pt idx="307">
                  <c:v>18.022221083550964</c:v>
                </c:pt>
                <c:pt idx="308">
                  <c:v>17.947256363772354</c:v>
                </c:pt>
                <c:pt idx="309">
                  <c:v>17.870122193909566</c:v>
                </c:pt>
                <c:pt idx="310">
                  <c:v>17.790795561765606</c:v>
                </c:pt>
                <c:pt idx="311">
                  <c:v>17.709255449956324</c:v>
                </c:pt>
                <c:pt idx="312">
                  <c:v>17.625482919052267</c:v>
                </c:pt>
                <c:pt idx="313">
                  <c:v>17.539461183531003</c:v>
                </c:pt>
                <c:pt idx="314">
                  <c:v>17.451175679903645</c:v>
                </c:pt>
                <c:pt idx="315">
                  <c:v>17.360614126435557</c:v>
                </c:pt>
                <c:pt idx="316">
                  <c:v>17.267766573944634</c:v>
                </c:pt>
                <c:pt idx="317">
                  <c:v>17.172625447234044</c:v>
                </c:pt>
                <c:pt idx="318">
                  <c:v>17.075185576790904</c:v>
                </c:pt>
                <c:pt idx="319">
                  <c:v>16.975444220471115</c:v>
                </c:pt>
                <c:pt idx="320">
                  <c:v>16.873401074973074</c:v>
                </c:pt>
                <c:pt idx="321">
                  <c:v>16.769058276999161</c:v>
                </c:pt>
                <c:pt idx="322">
                  <c:v>16.662420394092493</c:v>
                </c:pt>
                <c:pt idx="323">
                  <c:v>16.55349440523139</c:v>
                </c:pt>
                <c:pt idx="324">
                  <c:v>16.442289671355343</c:v>
                </c:pt>
                <c:pt idx="325">
                  <c:v>16.328817896083855</c:v>
                </c:pt>
                <c:pt idx="326">
                  <c:v>16.213093076975632</c:v>
                </c:pt>
                <c:pt idx="327">
                  <c:v>16.095131447755058</c:v>
                </c:pt>
                <c:pt idx="328">
                  <c:v>15.974951412005268</c:v>
                </c:pt>
                <c:pt idx="329">
                  <c:v>15.852573468894001</c:v>
                </c:pt>
                <c:pt idx="330">
                  <c:v>15.728020131556207</c:v>
                </c:pt>
                <c:pt idx="331">
                  <c:v>15.601315838804659</c:v>
                </c:pt>
                <c:pt idx="332">
                  <c:v>15.472486860882547</c:v>
                </c:pt>
                <c:pt idx="333">
                  <c:v>15.341561199998768</c:v>
                </c:pt>
                <c:pt idx="334">
                  <c:v>15.20856848640978</c:v>
                </c:pt>
                <c:pt idx="335">
                  <c:v>15.073539870822588</c:v>
                </c:pt>
                <c:pt idx="336">
                  <c:v>14.936507913893294</c:v>
                </c:pt>
                <c:pt idx="337">
                  <c:v>14.797506473591081</c:v>
                </c:pt>
                <c:pt idx="338">
                  <c:v>14.656570591181984</c:v>
                </c:pt>
                <c:pt idx="339">
                  <c:v>14.513736376561271</c:v>
                </c:pt>
                <c:pt idx="340">
                  <c:v>14.369040893637713</c:v>
                </c:pt>
                <c:pt idx="341">
                  <c:v>14.222522046434229</c:v>
                </c:pt>
                <c:pt idx="342">
                  <c:v>14.074218466530169</c:v>
                </c:pt>
                <c:pt idx="343">
                  <c:v>13.924169402424308</c:v>
                </c:pt>
                <c:pt idx="344">
                  <c:v>13.772414611351726</c:v>
                </c:pt>
                <c:pt idx="345">
                  <c:v>13.618994254033201</c:v>
                </c:pt>
                <c:pt idx="346">
                  <c:v>13.463948792788123</c:v>
                </c:pt>
                <c:pt idx="347">
                  <c:v>13.307318893384657</c:v>
                </c:pt>
                <c:pt idx="348">
                  <c:v>13.149145330951166</c:v>
                </c:pt>
                <c:pt idx="349">
                  <c:v>12.989468900218144</c:v>
                </c:pt>
                <c:pt idx="350">
                  <c:v>12.828330330311786</c:v>
                </c:pt>
                <c:pt idx="351">
                  <c:v>12.665770204267286</c:v>
                </c:pt>
                <c:pt idx="352">
                  <c:v>12.501828883387375</c:v>
                </c:pt>
                <c:pt idx="353">
                  <c:v>12.336546436524429</c:v>
                </c:pt>
                <c:pt idx="354">
                  <c:v>12.169962574324828</c:v>
                </c:pt>
                <c:pt idx="355">
                  <c:v>12.002116588434774</c:v>
                </c:pt>
                <c:pt idx="356">
                  <c:v>11.833047295634726</c:v>
                </c:pt>
                <c:pt idx="357">
                  <c:v>11.662792986834825</c:v>
                </c:pt>
                <c:pt idx="358">
                  <c:v>11.491391380839023</c:v>
                </c:pt>
                <c:pt idx="359">
                  <c:v>11.318879582759278</c:v>
                </c:pt>
                <c:pt idx="360">
                  <c:v>11.145294046940348</c:v>
                </c:pt>
                <c:pt idx="361">
                  <c:v>10.970670544238905</c:v>
                </c:pt>
                <c:pt idx="362">
                  <c:v>10.79504413348397</c:v>
                </c:pt>
                <c:pt idx="363">
                  <c:v>10.618449136935817</c:v>
                </c:pt>
                <c:pt idx="364">
                  <c:v>10.440919119549566</c:v>
                </c:pt>
                <c:pt idx="365">
                  <c:v>10.262486871844255</c:v>
                </c:pt>
                <c:pt idx="366">
                  <c:v>10.083184396172689</c:v>
                </c:pt>
                <c:pt idx="367">
                  <c:v>9.903042896186097</c:v>
                </c:pt>
                <c:pt idx="368">
                  <c:v>9.7220927692865882</c:v>
                </c:pt>
                <c:pt idx="369">
                  <c:v>9.5403636018614328</c:v>
                </c:pt>
                <c:pt idx="370">
                  <c:v>9.3578841670973283</c:v>
                </c:pt>
                <c:pt idx="371">
                  <c:v>9.1746824251737742</c:v>
                </c:pt>
                <c:pt idx="372">
                  <c:v>8.9907855256443749</c:v>
                </c:pt>
                <c:pt idx="373">
                  <c:v>8.8062198118156712</c:v>
                </c:pt>
                <c:pt idx="374">
                  <c:v>8.621010826943218</c:v>
                </c:pt>
                <c:pt idx="375">
                  <c:v>8.4351833220721595</c:v>
                </c:pt>
                <c:pt idx="376">
                  <c:v>8.2487612653537283</c:v>
                </c:pt>
                <c:pt idx="377">
                  <c:v>8.0617678526819354</c:v>
                </c:pt>
                <c:pt idx="378">
                  <c:v>7.8742255194989834</c:v>
                </c:pt>
                <c:pt idx="379">
                  <c:v>7.6861559536292168</c:v>
                </c:pt>
                <c:pt idx="380">
                  <c:v>7.4975801090072993</c:v>
                </c:pt>
                <c:pt idx="381">
                  <c:v>7.3085182201778744</c:v>
                </c:pt>
                <c:pt idx="382">
                  <c:v>7.118989817448945</c:v>
                </c:pt>
                <c:pt idx="383">
                  <c:v>6.9290137425914375</c:v>
                </c:pt>
                <c:pt idx="384">
                  <c:v>6.7386081649847664</c:v>
                </c:pt>
                <c:pt idx="385">
                  <c:v>6.5477905981161308</c:v>
                </c:pt>
                <c:pt idx="386">
                  <c:v>6.3565779163478267</c:v>
                </c:pt>
                <c:pt idx="387">
                  <c:v>6.1649863718751794</c:v>
                </c:pt>
                <c:pt idx="388">
                  <c:v>5.9730316118031261</c:v>
                </c:pt>
                <c:pt idx="389">
                  <c:v>5.7807286952778325</c:v>
                </c:pt>
                <c:pt idx="390">
                  <c:v>5.5880921106132</c:v>
                </c:pt>
                <c:pt idx="391">
                  <c:v>5.3951357923601559</c:v>
                </c:pt>
                <c:pt idx="392">
                  <c:v>5.2018731382718713</c:v>
                </c:pt>
                <c:pt idx="393">
                  <c:v>5.0083170261208227</c:v>
                </c:pt>
                <c:pt idx="394">
                  <c:v>4.8144798303316003</c:v>
                </c:pt>
                <c:pt idx="395">
                  <c:v>4.6203734383954433</c:v>
                </c:pt>
                <c:pt idx="396">
                  <c:v>4.4260092670380837</c:v>
                </c:pt>
                <c:pt idx="397">
                  <c:v>4.2313982781144821</c:v>
                </c:pt>
                <c:pt idx="398">
                  <c:v>4.0365509942102538</c:v>
                </c:pt>
                <c:pt idx="399">
                  <c:v>3.8414775139301232</c:v>
                </c:pt>
                <c:pt idx="400">
                  <c:v>3.6461875268583976</c:v>
                </c:pt>
                <c:pt idx="401">
                  <c:v>3.4506903281787578</c:v>
                </c:pt>
                <c:pt idx="402">
                  <c:v>3.2549948329429808</c:v>
                </c:pt>
                <c:pt idx="403">
                  <c:v>3.0591095899805931</c:v>
                </c:pt>
                <c:pt idx="404">
                  <c:v>2.863042795443405</c:v>
                </c:pt>
                <c:pt idx="405">
                  <c:v>2.6668023059818329</c:v>
                </c:pt>
                <c:pt idx="406">
                  <c:v>2.4703956515487788</c:v>
                </c:pt>
                <c:pt idx="407">
                  <c:v>2.2738300478322531</c:v>
                </c:pt>
                <c:pt idx="408">
                  <c:v>2.0771124083156205</c:v>
                </c:pt>
                <c:pt idx="409">
                  <c:v>1.8802493559683531</c:v>
                </c:pt>
                <c:pt idx="410">
                  <c:v>1.6832472345690821</c:v>
                </c:pt>
                <c:pt idx="411">
                  <c:v>1.4861121196657017</c:v>
                </c:pt>
                <c:pt idx="412">
                  <c:v>1.2888498291752148</c:v>
                </c:pt>
                <c:pt idx="413">
                  <c:v>1.0914659336315589</c:v>
                </c:pt>
                <c:pt idx="414">
                  <c:v>0.89396576608367317</c:v>
                </c:pt>
                <c:pt idx="415">
                  <c:v>0.6963544316533149</c:v>
                </c:pt>
                <c:pt idx="416">
                  <c:v>0.4986368167572019</c:v>
                </c:pt>
                <c:pt idx="417">
                  <c:v>0.30081759800250146</c:v>
                </c:pt>
                <c:pt idx="418">
                  <c:v>0.10290125076089446</c:v>
                </c:pt>
                <c:pt idx="419">
                  <c:v>-9.5107942567628292E-2</c:v>
                </c:pt>
                <c:pt idx="420">
                  <c:v>-0.29320588459802155</c:v>
                </c:pt>
                <c:pt idx="421">
                  <c:v>-0.49138865529719994</c:v>
                </c:pt>
                <c:pt idx="422">
                  <c:v>-0.68965250461075001</c:v>
                </c:pt>
                <c:pt idx="423">
                  <c:v>-0.88799384536954307</c:v>
                </c:pt>
                <c:pt idx="424">
                  <c:v>-1.0864092464671025</c:v>
                </c:pt>
                <c:pt idx="425">
                  <c:v>-1.2848954263015357</c:v>
                </c:pt>
                <c:pt idx="426">
                  <c:v>-1.4834492464718794</c:v>
                </c:pt>
                <c:pt idx="427">
                  <c:v>-1.6820677057226827</c:v>
                </c:pt>
                <c:pt idx="428">
                  <c:v>-1.8807479341262749</c:v>
                </c:pt>
                <c:pt idx="429">
                  <c:v>-2.0794871874983452</c:v>
                </c:pt>
                <c:pt idx="430">
                  <c:v>-2.2782828420340477</c:v>
                </c:pt>
                <c:pt idx="431">
                  <c:v>-2.4771323891633914</c:v>
                </c:pt>
                <c:pt idx="432">
                  <c:v>-2.676033430610969</c:v>
                </c:pt>
                <c:pt idx="433">
                  <c:v>-2.8749836736601257</c:v>
                </c:pt>
                <c:pt idx="434">
                  <c:v>-3.0739809266087721</c:v>
                </c:pt>
                <c:pt idx="435">
                  <c:v>-3.2730230944114931</c:v>
                </c:pt>
                <c:pt idx="436">
                  <c:v>-3.4721081745029303</c:v>
                </c:pt>
                <c:pt idx="437">
                  <c:v>-3.671234252792877</c:v>
                </c:pt>
                <c:pt idx="438">
                  <c:v>-3.8703994998287166</c:v>
                </c:pt>
                <c:pt idx="439">
                  <c:v>-4.0696021671175906</c:v>
                </c:pt>
                <c:pt idx="440">
                  <c:v>-4.2688405836028371</c:v>
                </c:pt>
                <c:pt idx="441">
                  <c:v>-4.4681131522889563</c:v>
                </c:pt>
                <c:pt idx="442">
                  <c:v>-4.6674183470079385</c:v>
                </c:pt>
                <c:pt idx="443">
                  <c:v>-4.866754709323831</c:v>
                </c:pt>
                <c:pt idx="444">
                  <c:v>-5.0661208455672204</c:v>
                </c:pt>
                <c:pt idx="445">
                  <c:v>-5.2655154239969884</c:v>
                </c:pt>
                <c:pt idx="446">
                  <c:v>-5.4649371720826121</c:v>
                </c:pt>
                <c:pt idx="447">
                  <c:v>-5.664384873902824</c:v>
                </c:pt>
                <c:pt idx="448">
                  <c:v>-5.8638573676557302</c:v>
                </c:pt>
                <c:pt idx="449">
                  <c:v>-6.0633535432765662</c:v>
                </c:pt>
                <c:pt idx="450">
                  <c:v>-6.2628723401568678</c:v>
                </c:pt>
                <c:pt idx="451">
                  <c:v>-6.4624127449628723</c:v>
                </c:pt>
                <c:pt idx="452">
                  <c:v>-6.6619737895485711</c:v>
                </c:pt>
                <c:pt idx="453">
                  <c:v>-6.8615545489581802</c:v>
                </c:pt>
                <c:pt idx="454">
                  <c:v>-7.0611541395159607</c:v>
                </c:pt>
                <c:pt idx="455">
                  <c:v>-7.2607717169990993</c:v>
                </c:pt>
                <c:pt idx="456">
                  <c:v>-7.4604064748899148</c:v>
                </c:pt>
                <c:pt idx="457">
                  <c:v>-7.6600576427043094</c:v>
                </c:pt>
                <c:pt idx="458">
                  <c:v>-7.8597244843932748</c:v>
                </c:pt>
                <c:pt idx="459">
                  <c:v>-8.0594062968144424</c:v>
                </c:pt>
                <c:pt idx="460">
                  <c:v>-8.2591024082702429</c:v>
                </c:pt>
                <c:pt idx="461">
                  <c:v>-8.4588121771104401</c:v>
                </c:pt>
                <c:pt idx="462">
                  <c:v>-8.6585349903959337</c:v>
                </c:pt>
                <c:pt idx="463">
                  <c:v>-8.8582702626211702</c:v>
                </c:pt>
                <c:pt idx="464">
                  <c:v>-9.0580174344930935</c:v>
                </c:pt>
                <c:pt idx="465">
                  <c:v>-9.2577759717633494</c:v>
                </c:pt>
                <c:pt idx="466">
                  <c:v>-9.4575453641124998</c:v>
                </c:pt>
                <c:pt idx="467">
                  <c:v>-9.6573251240832541</c:v>
                </c:pt>
                <c:pt idx="468">
                  <c:v>-9.8571147860605297</c:v>
                </c:pt>
                <c:pt idx="469">
                  <c:v>-10.056913905297273</c:v>
                </c:pt>
                <c:pt idx="470">
                  <c:v>-10.25672205698273</c:v>
                </c:pt>
                <c:pt idx="471">
                  <c:v>-10.456538835352347</c:v>
                </c:pt>
                <c:pt idx="472">
                  <c:v>-10.656363852836986</c:v>
                </c:pt>
                <c:pt idx="473">
                  <c:v>-10.856196739249874</c:v>
                </c:pt>
                <c:pt idx="474">
                  <c:v>-11.056037141009568</c:v>
                </c:pt>
                <c:pt idx="475">
                  <c:v>-11.255884720397608</c:v>
                </c:pt>
                <c:pt idx="476">
                  <c:v>-11.455739154848967</c:v>
                </c:pt>
                <c:pt idx="477">
                  <c:v>-11.655600136274071</c:v>
                </c:pt>
                <c:pt idx="478">
                  <c:v>-11.855467370411185</c:v>
                </c:pt>
                <c:pt idx="479">
                  <c:v>-12.055340576207049</c:v>
                </c:pt>
                <c:pt idx="480">
                  <c:v>-12.255219485226213</c:v>
                </c:pt>
                <c:pt idx="481">
                  <c:v>-12.455103841085061</c:v>
                </c:pt>
                <c:pt idx="482">
                  <c:v>-12.65499339891271</c:v>
                </c:pt>
                <c:pt idx="483">
                  <c:v>-12.854887924834848</c:v>
                </c:pt>
                <c:pt idx="484">
                  <c:v>-13.054787195480948</c:v>
                </c:pt>
                <c:pt idx="485">
                  <c:v>-13.254690997513563</c:v>
                </c:pt>
                <c:pt idx="486">
                  <c:v>-13.454599127178595</c:v>
                </c:pt>
                <c:pt idx="487">
                  <c:v>-13.654511389875461</c:v>
                </c:pt>
                <c:pt idx="488">
                  <c:v>-13.854427599746614</c:v>
                </c:pt>
                <c:pt idx="489">
                  <c:v>-14.054347579285555</c:v>
                </c:pt>
                <c:pt idx="490">
                  <c:v>-14.254271158961963</c:v>
                </c:pt>
                <c:pt idx="491">
                  <c:v>-14.454198176864089</c:v>
                </c:pt>
                <c:pt idx="492">
                  <c:v>-14.654128478356693</c:v>
                </c:pt>
                <c:pt idx="493">
                  <c:v>-14.854061915754638</c:v>
                </c:pt>
                <c:pt idx="494">
                  <c:v>-15.053998348010628</c:v>
                </c:pt>
                <c:pt idx="495">
                  <c:v>-15.25393764041775</c:v>
                </c:pt>
                <c:pt idx="496">
                  <c:v>-15.453879664324415</c:v>
                </c:pt>
                <c:pt idx="497">
                  <c:v>-15.653824296862533</c:v>
                </c:pt>
                <c:pt idx="498">
                  <c:v>-15.853771420687963</c:v>
                </c:pt>
                <c:pt idx="499">
                  <c:v>-16.0537209237322</c:v>
                </c:pt>
                <c:pt idx="500">
                  <c:v>-16.253672698965666</c:v>
                </c:pt>
                <c:pt idx="501">
                  <c:v>-16.453626644171287</c:v>
                </c:pt>
                <c:pt idx="502">
                  <c:v>-16.653582661728134</c:v>
                </c:pt>
                <c:pt idx="503">
                  <c:v>-16.853540658405084</c:v>
                </c:pt>
                <c:pt idx="504">
                  <c:v>-17.053500545163764</c:v>
                </c:pt>
                <c:pt idx="505">
                  <c:v>-17.25346223696981</c:v>
                </c:pt>
                <c:pt idx="506">
                  <c:v>-17.453425652613149</c:v>
                </c:pt>
                <c:pt idx="507">
                  <c:v>-17.653390714536027</c:v>
                </c:pt>
                <c:pt idx="508">
                  <c:v>-17.853357348668982</c:v>
                </c:pt>
                <c:pt idx="509">
                  <c:v>-18.053325484274026</c:v>
                </c:pt>
                <c:pt idx="510">
                  <c:v>-18.253295053794947</c:v>
                </c:pt>
                <c:pt idx="511">
                  <c:v>-18.453265992713781</c:v>
                </c:pt>
                <c:pt idx="512">
                  <c:v>-18.653238239415252</c:v>
                </c:pt>
                <c:pt idx="513">
                  <c:v>-18.853211735055343</c:v>
                </c:pt>
                <c:pt idx="514">
                  <c:v>-19.053186423437129</c:v>
                </c:pt>
                <c:pt idx="515">
                  <c:v>-19.253162250891627</c:v>
                </c:pt>
                <c:pt idx="516">
                  <c:v>-19.453139166164412</c:v>
                </c:pt>
                <c:pt idx="517">
                  <c:v>-19.653117120306401</c:v>
                </c:pt>
                <c:pt idx="518">
                  <c:v>-19.853096066571034</c:v>
                </c:pt>
                <c:pt idx="519">
                  <c:v>-20.053075960314416</c:v>
                </c:pt>
                <c:pt idx="520">
                  <c:v>-20.253056758901607</c:v>
                </c:pt>
                <c:pt idx="521">
                  <c:v>-20.453038421615538</c:v>
                </c:pt>
                <c:pt idx="522">
                  <c:v>-20.653020909570859</c:v>
                </c:pt>
                <c:pt idx="523">
                  <c:v>-20.853004185632216</c:v>
                </c:pt>
                <c:pt idx="524">
                  <c:v>-21.05298821433469</c:v>
                </c:pt>
                <c:pt idx="525">
                  <c:v>-21.252972961809125</c:v>
                </c:pt>
                <c:pt idx="526">
                  <c:v>-21.452958395710283</c:v>
                </c:pt>
                <c:pt idx="527">
                  <c:v>-21.652944485148197</c:v>
                </c:pt>
                <c:pt idx="528">
                  <c:v>-21.85293120062294</c:v>
                </c:pt>
                <c:pt idx="529">
                  <c:v>-22.052918513961913</c:v>
                </c:pt>
                <c:pt idx="530">
                  <c:v>-22.252906398260034</c:v>
                </c:pt>
                <c:pt idx="531">
                  <c:v>-22.452894827823226</c:v>
                </c:pt>
                <c:pt idx="532">
                  <c:v>-22.652883778112901</c:v>
                </c:pt>
                <c:pt idx="533">
                  <c:v>-22.852873225695205</c:v>
                </c:pt>
                <c:pt idx="534">
                  <c:v>-23.052863148190625</c:v>
                </c:pt>
                <c:pt idx="535">
                  <c:v>-23.252853524226694</c:v>
                </c:pt>
                <c:pt idx="536">
                  <c:v>-23.452844333392466</c:v>
                </c:pt>
                <c:pt idx="537">
                  <c:v>-23.652835556195903</c:v>
                </c:pt>
                <c:pt idx="538">
                  <c:v>-23.852827174021609</c:v>
                </c:pt>
                <c:pt idx="539">
                  <c:v>-24.052819169092245</c:v>
                </c:pt>
                <c:pt idx="540">
                  <c:v>-24.252811524430204</c:v>
                </c:pt>
                <c:pt idx="541">
                  <c:v>-24.452804223822163</c:v>
                </c:pt>
              </c:numCache>
            </c:numRef>
          </c:yVal>
          <c:smooth val="1"/>
          <c:extLst>
            <c:ext xmlns:c16="http://schemas.microsoft.com/office/drawing/2014/chart" uri="{C3380CC4-5D6E-409C-BE32-E72D297353CC}">
              <c16:uniqueId val="{00000000-C95D-4273-8D1D-E8C586949522}"/>
            </c:ext>
          </c:extLst>
        </c:ser>
        <c:dLbls>
          <c:showLegendKey val="0"/>
          <c:showVal val="0"/>
          <c:showCatName val="0"/>
          <c:showSerName val="0"/>
          <c:showPercent val="0"/>
          <c:showBubbleSize val="0"/>
        </c:dLbls>
        <c:axId val="160531200"/>
        <c:axId val="160533120"/>
      </c:scatterChart>
      <c:scatterChart>
        <c:scatterStyle val="smoothMarker"/>
        <c:varyColors val="0"/>
        <c:ser>
          <c:idx val="1"/>
          <c:order val="1"/>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Loop_Modeling!$AR$19:$AR$560</c:f>
              <c:numCache>
                <c:formatCode>General</c:formatCode>
                <c:ptCount val="542"/>
                <c:pt idx="0">
                  <c:v>95.471423347695222</c:v>
                </c:pt>
                <c:pt idx="1">
                  <c:v>95.59805228771252</c:v>
                </c:pt>
                <c:pt idx="2">
                  <c:v>95.727572838701903</c:v>
                </c:pt>
                <c:pt idx="3">
                  <c:v>95.86004826642224</c:v>
                </c:pt>
                <c:pt idx="4">
                  <c:v>95.995543024673736</c:v>
                </c:pt>
                <c:pt idx="5">
                  <c:v>96.134122763359258</c:v>
                </c:pt>
                <c:pt idx="6">
                  <c:v>96.275854335427184</c:v>
                </c:pt>
                <c:pt idx="7">
                  <c:v>96.420805802588305</c:v>
                </c:pt>
                <c:pt idx="8">
                  <c:v>96.569046439691235</c:v>
                </c:pt>
                <c:pt idx="9">
                  <c:v>96.720646737633942</c:v>
                </c:pt>
                <c:pt idx="10">
                  <c:v>96.875678404680897</c:v>
                </c:pt>
                <c:pt idx="11">
                  <c:v>97.034214366047948</c:v>
                </c:pt>
                <c:pt idx="12">
                  <c:v>97.196328761606821</c:v>
                </c:pt>
                <c:pt idx="13">
                  <c:v>97.36209694155481</c:v>
                </c:pt>
                <c:pt idx="14">
                  <c:v>97.53159545988386</c:v>
                </c:pt>
                <c:pt idx="15">
                  <c:v>97.704902065474499</c:v>
                </c:pt>
                <c:pt idx="16">
                  <c:v>97.882095690631417</c:v>
                </c:pt>
                <c:pt idx="17">
                  <c:v>98.063256436864961</c:v>
                </c:pt>
                <c:pt idx="18">
                  <c:v>98.248465557713814</c:v>
                </c:pt>
                <c:pt idx="19">
                  <c:v>98.437805438394236</c:v>
                </c:pt>
                <c:pt idx="20">
                  <c:v>98.631359572047984</c:v>
                </c:pt>
                <c:pt idx="21">
                  <c:v>98.829212532351718</c:v>
                </c:pt>
                <c:pt idx="22">
                  <c:v>99.031449942238567</c:v>
                </c:pt>
                <c:pt idx="23">
                  <c:v>99.238158438471103</c:v>
                </c:pt>
                <c:pt idx="24">
                  <c:v>99.449425631793787</c:v>
                </c:pt>
                <c:pt idx="25">
                  <c:v>99.665340062381773</c:v>
                </c:pt>
                <c:pt idx="26">
                  <c:v>99.885991150288945</c:v>
                </c:pt>
                <c:pt idx="27">
                  <c:v>100.11146914059213</c:v>
                </c:pt>
                <c:pt idx="28">
                  <c:v>100.3418650429124</c:v>
                </c:pt>
                <c:pt idx="29">
                  <c:v>100.57727056498527</c:v>
                </c:pt>
                <c:pt idx="30">
                  <c:v>100.81777803994515</c:v>
                </c:pt>
                <c:pt idx="31">
                  <c:v>101.06348034697511</c:v>
                </c:pt>
                <c:pt idx="32">
                  <c:v>101.31447082496739</c:v>
                </c:pt>
                <c:pt idx="33">
                  <c:v>101.57084317883405</c:v>
                </c:pt>
                <c:pt idx="34">
                  <c:v>101.83269137809799</c:v>
                </c:pt>
                <c:pt idx="35">
                  <c:v>102.10010954739317</c:v>
                </c:pt>
                <c:pt idx="36">
                  <c:v>102.37319184849866</c:v>
                </c:pt>
                <c:pt idx="37">
                  <c:v>102.65203235352956</c:v>
                </c:pt>
                <c:pt idx="38">
                  <c:v>102.93672490891316</c:v>
                </c:pt>
                <c:pt idx="39">
                  <c:v>103.22736298977826</c:v>
                </c:pt>
                <c:pt idx="40">
                  <c:v>103.52403954439522</c:v>
                </c:pt>
                <c:pt idx="41">
                  <c:v>103.82684682831703</c:v>
                </c:pt>
                <c:pt idx="42">
                  <c:v>104.13587622788003</c:v>
                </c:pt>
                <c:pt idx="43">
                  <c:v>104.45121807274759</c:v>
                </c:pt>
                <c:pt idx="44">
                  <c:v>104.77296143719816</c:v>
                </c:pt>
                <c:pt idx="45">
                  <c:v>105.10119392989009</c:v>
                </c:pt>
                <c:pt idx="46">
                  <c:v>105.43600147186561</c:v>
                </c:pt>
                <c:pt idx="47">
                  <c:v>105.77746806259741</c:v>
                </c:pt>
                <c:pt idx="48">
                  <c:v>106.1256755339258</c:v>
                </c:pt>
                <c:pt idx="49">
                  <c:v>106.48070329178451</c:v>
                </c:pt>
                <c:pt idx="50">
                  <c:v>106.84262804567479</c:v>
                </c:pt>
                <c:pt idx="51">
                  <c:v>107.21152352590981</c:v>
                </c:pt>
                <c:pt idx="52">
                  <c:v>107.58746018872814</c:v>
                </c:pt>
                <c:pt idx="53">
                  <c:v>107.97050490945627</c:v>
                </c:pt>
                <c:pt idx="54">
                  <c:v>108.36072066398991</c:v>
                </c:pt>
                <c:pt idx="55">
                  <c:v>108.758166198962</c:v>
                </c:pt>
                <c:pt idx="56">
                  <c:v>109.16289569107532</c:v>
                </c:pt>
                <c:pt idx="57">
                  <c:v>109.57495839619034</c:v>
                </c:pt>
                <c:pt idx="58">
                  <c:v>109.99439828888696</c:v>
                </c:pt>
                <c:pt idx="59">
                  <c:v>110.42125369334691</c:v>
                </c:pt>
                <c:pt idx="60">
                  <c:v>110.85555690655065</c:v>
                </c:pt>
                <c:pt idx="61">
                  <c:v>111.29733381492269</c:v>
                </c:pt>
                <c:pt idx="62">
                  <c:v>111.74660350572128</c:v>
                </c:pt>
                <c:pt idx="63">
                  <c:v>112.20337787462141</c:v>
                </c:pt>
                <c:pt idx="64">
                  <c:v>112.66766123110982</c:v>
                </c:pt>
                <c:pt idx="65">
                  <c:v>113.1394499034717</c:v>
                </c:pt>
                <c:pt idx="66">
                  <c:v>113.61873184532352</c:v>
                </c:pt>
                <c:pt idx="67">
                  <c:v>114.10548624580851</c:v>
                </c:pt>
                <c:pt idx="68">
                  <c:v>114.59968314573644</c:v>
                </c:pt>
                <c:pt idx="69">
                  <c:v>115.10128306211249</c:v>
                </c:pt>
                <c:pt idx="70">
                  <c:v>115.61023662364786</c:v>
                </c:pt>
                <c:pt idx="71">
                  <c:v>116.12648421998399</c:v>
                </c:pt>
                <c:pt idx="72">
                  <c:v>116.64995566749347</c:v>
                </c:pt>
                <c:pt idx="73">
                  <c:v>117.18056989462772</c:v>
                </c:pt>
                <c:pt idx="74">
                  <c:v>117.71823464987176</c:v>
                </c:pt>
                <c:pt idx="75">
                  <c:v>118.26284623543226</c:v>
                </c:pt>
                <c:pt idx="76">
                  <c:v>118.81428926982647</c:v>
                </c:pt>
                <c:pt idx="77">
                  <c:v>119.3724364825425</c:v>
                </c:pt>
                <c:pt idx="78">
                  <c:v>119.93714854392908</c:v>
                </c:pt>
                <c:pt idx="79">
                  <c:v>120.50827393339853</c:v>
                </c:pt>
                <c:pt idx="80">
                  <c:v>121.08564884894179</c:v>
                </c:pt>
                <c:pt idx="81">
                  <c:v>121.66909716080379</c:v>
                </c:pt>
                <c:pt idx="82">
                  <c:v>122.25843041199417</c:v>
                </c:pt>
                <c:pt idx="83">
                  <c:v>122.853447868082</c:v>
                </c:pt>
                <c:pt idx="84">
                  <c:v>123.45393661844908</c:v>
                </c:pt>
                <c:pt idx="85">
                  <c:v>124.05967173087789</c:v>
                </c:pt>
                <c:pt idx="86">
                  <c:v>124.6704164609844</c:v>
                </c:pt>
                <c:pt idx="87">
                  <c:v>125.28592251762464</c:v>
                </c:pt>
                <c:pt idx="88">
                  <c:v>125.90593038496917</c:v>
                </c:pt>
                <c:pt idx="89">
                  <c:v>126.53016970148258</c:v>
                </c:pt>
                <c:pt idx="90">
                  <c:v>127.15835969555668</c:v>
                </c:pt>
                <c:pt idx="91">
                  <c:v>127.79020967703434</c:v>
                </c:pt>
                <c:pt idx="92">
                  <c:v>128.42541958334064</c:v>
                </c:pt>
                <c:pt idx="93">
                  <c:v>129.06368057840052</c:v>
                </c:pt>
                <c:pt idx="94">
                  <c:v>129.70467570199281</c:v>
                </c:pt>
                <c:pt idx="95">
                  <c:v>130.34808056666432</c:v>
                </c:pt>
                <c:pt idx="96">
                  <c:v>130.99356409882029</c:v>
                </c:pt>
                <c:pt idx="97">
                  <c:v>131.6407893201181</c:v>
                </c:pt>
                <c:pt idx="98">
                  <c:v>132.28941416485338</c:v>
                </c:pt>
                <c:pt idx="99">
                  <c:v>132.93909232860068</c:v>
                </c:pt>
                <c:pt idx="100">
                  <c:v>133.58947414302193</c:v>
                </c:pt>
                <c:pt idx="101">
                  <c:v>134.24020747144786</c:v>
                </c:pt>
                <c:pt idx="102">
                  <c:v>134.89093861958122</c:v>
                </c:pt>
                <c:pt idx="103">
                  <c:v>135.54131325550915</c:v>
                </c:pt>
                <c:pt idx="104">
                  <c:v>136.1909773330753</c:v>
                </c:pt>
                <c:pt idx="105">
                  <c:v>136.839578012647</c:v>
                </c:pt>
                <c:pt idx="106">
                  <c:v>137.48676457332314</c:v>
                </c:pt>
                <c:pt idx="107">
                  <c:v>138.13218931074078</c:v>
                </c:pt>
                <c:pt idx="108">
                  <c:v>138.77550841480578</c:v>
                </c:pt>
                <c:pt idx="109">
                  <c:v>139.41638282191155</c:v>
                </c:pt>
                <c:pt idx="110">
                  <c:v>140.05447903650469</c:v>
                </c:pt>
                <c:pt idx="111">
                  <c:v>140.68946991721248</c:v>
                </c:pt>
                <c:pt idx="112">
                  <c:v>141.32103542315076</c:v>
                </c:pt>
                <c:pt idx="113">
                  <c:v>141.94886331647731</c:v>
                </c:pt>
                <c:pt idx="114">
                  <c:v>142.57264981772585</c:v>
                </c:pt>
                <c:pt idx="115">
                  <c:v>143.19210021097948</c:v>
                </c:pt>
                <c:pt idx="116">
                  <c:v>143.80692939644348</c:v>
                </c:pt>
                <c:pt idx="117">
                  <c:v>144.41686238853126</c:v>
                </c:pt>
                <c:pt idx="118">
                  <c:v>145.0216347580868</c:v>
                </c:pt>
                <c:pt idx="119">
                  <c:v>145.62099301792071</c:v>
                </c:pt>
                <c:pt idx="120">
                  <c:v>146.2146949513201</c:v>
                </c:pt>
                <c:pt idx="121">
                  <c:v>146.80250988370858</c:v>
                </c:pt>
                <c:pt idx="122">
                  <c:v>147.38421889808012</c:v>
                </c:pt>
                <c:pt idx="123">
                  <c:v>147.95961499527459</c:v>
                </c:pt>
                <c:pt idx="124">
                  <c:v>148.52850320055211</c:v>
                </c:pt>
                <c:pt idx="125">
                  <c:v>149.09070061828774</c:v>
                </c:pt>
                <c:pt idx="126">
                  <c:v>149.64603643692328</c:v>
                </c:pt>
                <c:pt idx="127">
                  <c:v>150.19435188658102</c:v>
                </c:pt>
                <c:pt idx="128">
                  <c:v>150.73550015198603</c:v>
                </c:pt>
                <c:pt idx="129">
                  <c:v>151.26934624352492</c:v>
                </c:pt>
                <c:pt idx="130">
                  <c:v>151.79576682940873</c:v>
                </c:pt>
                <c:pt idx="131">
                  <c:v>152.31465003202521</c:v>
                </c:pt>
                <c:pt idx="132">
                  <c:v>152.82589519161724</c:v>
                </c:pt>
                <c:pt idx="133">
                  <c:v>153.32941260046567</c:v>
                </c:pt>
                <c:pt idx="134">
                  <c:v>153.8251232107377</c:v>
                </c:pt>
                <c:pt idx="135">
                  <c:v>154.31295831913835</c:v>
                </c:pt>
                <c:pt idx="136">
                  <c:v>154.79285923143254</c:v>
                </c:pt>
                <c:pt idx="137">
                  <c:v>155.26477690982159</c:v>
                </c:pt>
                <c:pt idx="138">
                  <c:v>155.72867160604869</c:v>
                </c:pt>
                <c:pt idx="139">
                  <c:v>156.18451248298979</c:v>
                </c:pt>
                <c:pt idx="140">
                  <c:v>156.632277227336</c:v>
                </c:pt>
                <c:pt idx="141">
                  <c:v>157.07195165583624</c:v>
                </c:pt>
                <c:pt idx="142">
                  <c:v>157.50352931739982</c:v>
                </c:pt>
                <c:pt idx="143">
                  <c:v>157.92701109320291</c:v>
                </c:pt>
                <c:pt idx="144">
                  <c:v>158.34240479677115</c:v>
                </c:pt>
                <c:pt idx="145">
                  <c:v>158.74972477584296</c:v>
                </c:pt>
                <c:pt idx="146">
                  <c:v>159.14899151765206</c:v>
                </c:pt>
                <c:pt idx="147">
                  <c:v>159.54023125910422</c:v>
                </c:pt>
                <c:pt idx="148">
                  <c:v>159.92347560315753</c:v>
                </c:pt>
                <c:pt idx="149">
                  <c:v>160.29876114256786</c:v>
                </c:pt>
                <c:pt idx="150">
                  <c:v>160.6661290920068</c:v>
                </c:pt>
                <c:pt idx="151">
                  <c:v>161.02562492941834</c:v>
                </c:pt>
                <c:pt idx="152">
                  <c:v>161.37729804734937</c:v>
                </c:pt>
                <c:pt idx="153">
                  <c:v>161.72120141486113</c:v>
                </c:pt>
                <c:pt idx="154">
                  <c:v>162.05739125051051</c:v>
                </c:pt>
                <c:pt idx="155">
                  <c:v>162.3859267067846</c:v>
                </c:pt>
                <c:pt idx="156">
                  <c:v>162.70686956626869</c:v>
                </c:pt>
                <c:pt idx="157">
                  <c:v>163.020283949738</c:v>
                </c:pt>
                <c:pt idx="158">
                  <c:v>163.32623603628065</c:v>
                </c:pt>
                <c:pt idx="159">
                  <c:v>163.62479379548154</c:v>
                </c:pt>
                <c:pt idx="160">
                  <c:v>163.91602673163536</c:v>
                </c:pt>
                <c:pt idx="161">
                  <c:v>164.20000563988984</c:v>
                </c:pt>
                <c:pt idx="162">
                  <c:v>164.47680237417407</c:v>
                </c:pt>
                <c:pt idx="163">
                  <c:v>164.7464896267177</c:v>
                </c:pt>
                <c:pt idx="164">
                  <c:v>165.00914071892831</c:v>
                </c:pt>
                <c:pt idx="165">
                  <c:v>165.26482940335916</c:v>
                </c:pt>
                <c:pt idx="166">
                  <c:v>165.5136296764725</c:v>
                </c:pt>
                <c:pt idx="167">
                  <c:v>165.75561560188109</c:v>
                </c:pt>
                <c:pt idx="168">
                  <c:v>165.99086114372858</c:v>
                </c:pt>
                <c:pt idx="169">
                  <c:v>166.21944000985718</c:v>
                </c:pt>
                <c:pt idx="170">
                  <c:v>166.441425504401</c:v>
                </c:pt>
                <c:pt idx="171">
                  <c:v>166.65689038943165</c:v>
                </c:pt>
                <c:pt idx="172">
                  <c:v>166.86590675528447</c:v>
                </c:pt>
                <c:pt idx="173">
                  <c:v>167.06854589918458</c:v>
                </c:pt>
                <c:pt idx="174">
                  <c:v>167.26487821179916</c:v>
                </c:pt>
                <c:pt idx="175">
                  <c:v>167.45497307134102</c:v>
                </c:pt>
                <c:pt idx="176">
                  <c:v>167.63889874485383</c:v>
                </c:pt>
                <c:pt idx="177">
                  <c:v>167.81672229631485</c:v>
                </c:pt>
                <c:pt idx="178">
                  <c:v>167.98850950120118</c:v>
                </c:pt>
                <c:pt idx="179">
                  <c:v>168.15432476716933</c:v>
                </c:pt>
                <c:pt idx="180">
                  <c:v>168.31423106051042</c:v>
                </c:pt>
                <c:pt idx="181">
                  <c:v>168.46828983805412</c:v>
                </c:pt>
                <c:pt idx="182">
                  <c:v>168.6165609842013</c:v>
                </c:pt>
                <c:pt idx="183">
                  <c:v>168.75910275278181</c:v>
                </c:pt>
                <c:pt idx="184">
                  <c:v>168.89597171344002</c:v>
                </c:pt>
                <c:pt idx="185">
                  <c:v>169.02722270226855</c:v>
                </c:pt>
                <c:pt idx="186">
                  <c:v>169.15290877641516</c:v>
                </c:pt>
                <c:pt idx="187">
                  <c:v>169.27308117240898</c:v>
                </c:pt>
                <c:pt idx="188">
                  <c:v>169.3877892679547</c:v>
                </c:pt>
                <c:pt idx="189">
                  <c:v>169.49708054696379</c:v>
                </c:pt>
                <c:pt idx="190">
                  <c:v>169.60100056759845</c:v>
                </c:pt>
                <c:pt idx="191">
                  <c:v>169.69959293311769</c:v>
                </c:pt>
                <c:pt idx="192">
                  <c:v>169.79289926532618</c:v>
                </c:pt>
                <c:pt idx="193">
                  <c:v>169.88095918043948</c:v>
                </c:pt>
                <c:pt idx="194">
                  <c:v>169.96381026718697</c:v>
                </c:pt>
                <c:pt idx="195">
                  <c:v>170.04148806698907</c:v>
                </c:pt>
                <c:pt idx="196">
                  <c:v>170.11402605605304</c:v>
                </c:pt>
                <c:pt idx="197">
                  <c:v>170.18145562924212</c:v>
                </c:pt>
                <c:pt idx="198">
                  <c:v>170.24380608558647</c:v>
                </c:pt>
                <c:pt idx="199">
                  <c:v>170.30110461530879</c:v>
                </c:pt>
                <c:pt idx="200">
                  <c:v>170.35337628825289</c:v>
                </c:pt>
                <c:pt idx="201">
                  <c:v>170.4006440436082</c:v>
                </c:pt>
                <c:pt idx="202">
                  <c:v>170.44292868083613</c:v>
                </c:pt>
                <c:pt idx="203">
                  <c:v>170.48024885171097</c:v>
                </c:pt>
                <c:pt idx="204">
                  <c:v>170.51262105339734</c:v>
                </c:pt>
                <c:pt idx="205">
                  <c:v>170.54005962249587</c:v>
                </c:pt>
                <c:pt idx="206">
                  <c:v>170.56257672999587</c:v>
                </c:pt>
                <c:pt idx="207">
                  <c:v>170.58018237708211</c:v>
                </c:pt>
                <c:pt idx="208">
                  <c:v>170.59288439175333</c:v>
                </c:pt>
                <c:pt idx="209">
                  <c:v>170.60068842621385</c:v>
                </c:pt>
                <c:pt idx="210">
                  <c:v>170.60359795501313</c:v>
                </c:pt>
                <c:pt idx="211">
                  <c:v>170.60161427390943</c:v>
                </c:pt>
                <c:pt idx="212">
                  <c:v>170.594736499449</c:v>
                </c:pt>
                <c:pt idx="213">
                  <c:v>170.58296156925334</c:v>
                </c:pt>
                <c:pt idx="214">
                  <c:v>170.56628424301837</c:v>
                </c:pt>
                <c:pt idx="215">
                  <c:v>170.54469710423726</c:v>
                </c:pt>
                <c:pt idx="216">
                  <c:v>170.5181905626651</c:v>
                </c:pt>
                <c:pt idx="217">
                  <c:v>170.48675285755189</c:v>
                </c:pt>
                <c:pt idx="218">
                  <c:v>170.4503700616786</c:v>
                </c:pt>
                <c:pt idx="219">
                  <c:v>170.40902608623944</c:v>
                </c:pt>
                <c:pt idx="220">
                  <c:v>170.36270268662011</c:v>
                </c:pt>
                <c:pt idx="221">
                  <c:v>170.31137946913208</c:v>
                </c:pt>
                <c:pt idx="222">
                  <c:v>170.25503389877002</c:v>
                </c:pt>
                <c:pt idx="223">
                  <c:v>170.19364130806787</c:v>
                </c:pt>
                <c:pt idx="224">
                  <c:v>170.12717490714024</c:v>
                </c:pt>
                <c:pt idx="225">
                  <c:v>170.0556057950007</c:v>
                </c:pt>
                <c:pt idx="226">
                  <c:v>169.97890297226203</c:v>
                </c:pt>
                <c:pt idx="227">
                  <c:v>169.89703335532994</c:v>
                </c:pt>
                <c:pt idx="228">
                  <c:v>169.80996179221316</c:v>
                </c:pt>
                <c:pt idx="229">
                  <c:v>169.71765108008103</c:v>
                </c:pt>
                <c:pt idx="230">
                  <c:v>169.62006198471201</c:v>
                </c:pt>
                <c:pt idx="231">
                  <c:v>169.51715326198598</c:v>
                </c:pt>
                <c:pt idx="232">
                  <c:v>169.40888168158241</c:v>
                </c:pt>
                <c:pt idx="233">
                  <c:v>169.29520205306011</c:v>
                </c:pt>
                <c:pt idx="234">
                  <c:v>169.17606725450392</c:v>
                </c:pt>
                <c:pt idx="235">
                  <c:v>169.05142826393433</c:v>
                </c:pt>
                <c:pt idx="236">
                  <c:v>168.92123419369062</c:v>
                </c:pt>
                <c:pt idx="237">
                  <c:v>168.78543232800507</c:v>
                </c:pt>
                <c:pt idx="238">
                  <c:v>168.6439681640037</c:v>
                </c:pt>
                <c:pt idx="239">
                  <c:v>168.49678545637443</c:v>
                </c:pt>
                <c:pt idx="240">
                  <c:v>168.3438262659628</c:v>
                </c:pt>
                <c:pt idx="241">
                  <c:v>168.18503101256019</c:v>
                </c:pt>
                <c:pt idx="242">
                  <c:v>168.02033853216793</c:v>
                </c:pt>
                <c:pt idx="243">
                  <c:v>167.84968613902788</c:v>
                </c:pt>
                <c:pt idx="244">
                  <c:v>167.67300969272455</c:v>
                </c:pt>
                <c:pt idx="245">
                  <c:v>167.49024367067415</c:v>
                </c:pt>
                <c:pt idx="246">
                  <c:v>167.30132124632595</c:v>
                </c:pt>
                <c:pt idx="247">
                  <c:v>167.10617437341418</c:v>
                </c:pt>
                <c:pt idx="248">
                  <c:v>166.90473387660396</c:v>
                </c:pt>
                <c:pt idx="249">
                  <c:v>166.69692954888922</c:v>
                </c:pt>
                <c:pt idx="250">
                  <c:v>166.48269025610227</c:v>
                </c:pt>
                <c:pt idx="251">
                  <c:v>166.2619440489037</c:v>
                </c:pt>
                <c:pt idx="252">
                  <c:v>166.03461828262832</c:v>
                </c:pt>
                <c:pt idx="253">
                  <c:v>165.80063974535921</c:v>
                </c:pt>
                <c:pt idx="254">
                  <c:v>165.55993479461122</c:v>
                </c:pt>
                <c:pt idx="255">
                  <c:v>165.31242950299605</c:v>
                </c:pt>
                <c:pt idx="256">
                  <c:v>165.0580498132434</c:v>
                </c:pt>
                <c:pt idx="257">
                  <c:v>164.79672170294069</c:v>
                </c:pt>
                <c:pt idx="258">
                  <c:v>164.52837135934766</c:v>
                </c:pt>
                <c:pt idx="259">
                  <c:v>164.25292536462538</c:v>
                </c:pt>
                <c:pt idx="260">
                  <c:v>163.97031089180172</c:v>
                </c:pt>
                <c:pt idx="261">
                  <c:v>163.68045591177517</c:v>
                </c:pt>
                <c:pt idx="262">
                  <c:v>163.38328941162706</c:v>
                </c:pt>
                <c:pt idx="263">
                  <c:v>163.07874162448473</c:v>
                </c:pt>
                <c:pt idx="264">
                  <c:v>162.76674427113454</c:v>
                </c:pt>
                <c:pt idx="265">
                  <c:v>162.44723081354397</c:v>
                </c:pt>
                <c:pt idx="266">
                  <c:v>162.12013672039595</c:v>
                </c:pt>
                <c:pt idx="267">
                  <c:v>161.78539974468521</c:v>
                </c:pt>
                <c:pt idx="268">
                  <c:v>161.44296021335518</c:v>
                </c:pt>
                <c:pt idx="269">
                  <c:v>161.09276132888675</c:v>
                </c:pt>
                <c:pt idx="270">
                  <c:v>160.7347494826619</c:v>
                </c:pt>
                <c:pt idx="271">
                  <c:v>160.36887457984068</c:v>
                </c:pt>
                <c:pt idx="272">
                  <c:v>159.99509037539121</c:v>
                </c:pt>
                <c:pt idx="273">
                  <c:v>159.61335482079915</c:v>
                </c:pt>
                <c:pt idx="274">
                  <c:v>159.22363042087602</c:v>
                </c:pt>
                <c:pt idx="275">
                  <c:v>158.82588459995591</c:v>
                </c:pt>
                <c:pt idx="276">
                  <c:v>158.42009007663921</c:v>
                </c:pt>
                <c:pt idx="277">
                  <c:v>158.00622524610262</c:v>
                </c:pt>
                <c:pt idx="278">
                  <c:v>157.58427456884442</c:v>
                </c:pt>
                <c:pt idx="279">
                  <c:v>157.15422896458472</c:v>
                </c:pt>
                <c:pt idx="280">
                  <c:v>156.7160862098745</c:v>
                </c:pt>
                <c:pt idx="281">
                  <c:v>156.26985133781105</c:v>
                </c:pt>
                <c:pt idx="282">
                  <c:v>155.8155370380814</c:v>
                </c:pt>
                <c:pt idx="283">
                  <c:v>155.35316405539643</c:v>
                </c:pt>
                <c:pt idx="284">
                  <c:v>154.88276158420402</c:v>
                </c:pt>
                <c:pt idx="285">
                  <c:v>154.4043676574079</c:v>
                </c:pt>
                <c:pt idx="286">
                  <c:v>153.91802952666021</c:v>
                </c:pt>
                <c:pt idx="287">
                  <c:v>153.42380403164049</c:v>
                </c:pt>
                <c:pt idx="288">
                  <c:v>152.92175795559581</c:v>
                </c:pt>
                <c:pt idx="289">
                  <c:v>152.41196836429</c:v>
                </c:pt>
                <c:pt idx="290">
                  <c:v>151.89452292539281</c:v>
                </c:pt>
                <c:pt idx="291">
                  <c:v>151.36952020525933</c:v>
                </c:pt>
                <c:pt idx="292">
                  <c:v>150.83706993997254</c:v>
                </c:pt>
                <c:pt idx="293">
                  <c:v>150.29729327748871</c:v>
                </c:pt>
                <c:pt idx="294">
                  <c:v>149.75032298771012</c:v>
                </c:pt>
                <c:pt idx="295">
                  <c:v>149.19630363733492</c:v>
                </c:pt>
                <c:pt idx="296">
                  <c:v>148.63539172639105</c:v>
                </c:pt>
                <c:pt idx="297">
                  <c:v>148.06775578345625</c:v>
                </c:pt>
                <c:pt idx="298">
                  <c:v>147.49357641670812</c:v>
                </c:pt>
                <c:pt idx="299">
                  <c:v>146.91304631812221</c:v>
                </c:pt>
                <c:pt idx="300">
                  <c:v>146.32637021836092</c:v>
                </c:pt>
                <c:pt idx="301">
                  <c:v>145.73376479016505</c:v>
                </c:pt>
                <c:pt idx="302">
                  <c:v>145.13545849836328</c:v>
                </c:pt>
                <c:pt idx="303">
                  <c:v>144.53169139496632</c:v>
                </c:pt>
                <c:pt idx="304">
                  <c:v>143.92271485820973</c:v>
                </c:pt>
                <c:pt idx="305">
                  <c:v>143.3087912748251</c:v>
                </c:pt>
                <c:pt idx="306">
                  <c:v>142.69019366528599</c:v>
                </c:pt>
                <c:pt idx="307">
                  <c:v>142.06720525226041</c:v>
                </c:pt>
                <c:pt idx="308">
                  <c:v>141.44011897300757</c:v>
                </c:pt>
                <c:pt idx="309">
                  <c:v>140.80923693698347</c:v>
                </c:pt>
                <c:pt idx="310">
                  <c:v>140.17486983045131</c:v>
                </c:pt>
                <c:pt idx="311">
                  <c:v>139.53733627042564</c:v>
                </c:pt>
                <c:pt idx="312">
                  <c:v>138.8969621108036</c:v>
                </c:pt>
                <c:pt idx="313">
                  <c:v>138.25407970404811</c:v>
                </c:pt>
                <c:pt idx="314">
                  <c:v>137.60902712227065</c:v>
                </c:pt>
                <c:pt idx="315">
                  <c:v>136.96214734201561</c:v>
                </c:pt>
                <c:pt idx="316">
                  <c:v>136.31378739745699</c:v>
                </c:pt>
                <c:pt idx="317">
                  <c:v>135.66429750708582</c:v>
                </c:pt>
                <c:pt idx="318">
                  <c:v>135.01403017927331</c:v>
                </c:pt>
                <c:pt idx="319">
                  <c:v>134.36333930234309</c:v>
                </c:pt>
                <c:pt idx="320">
                  <c:v>133.71257922497082</c:v>
                </c:pt>
                <c:pt idx="321">
                  <c:v>133.062103832844</c:v>
                </c:pt>
                <c:pt idx="322">
                  <c:v>132.41226562756009</c:v>
                </c:pt>
                <c:pt idx="323">
                  <c:v>131.76341481370696</c:v>
                </c:pt>
                <c:pt idx="324">
                  <c:v>131.11589839998339</c:v>
                </c:pt>
                <c:pt idx="325">
                  <c:v>130.47005932003765</c:v>
                </c:pt>
                <c:pt idx="326">
                  <c:v>129.82623557847458</c:v>
                </c:pt>
                <c:pt idx="327">
                  <c:v>129.18475942718194</c:v>
                </c:pt>
                <c:pt idx="328">
                  <c:v>128.54595657678345</c:v>
                </c:pt>
                <c:pt idx="329">
                  <c:v>127.91014544760854</c:v>
                </c:pt>
                <c:pt idx="330">
                  <c:v>127.27763646414978</c:v>
                </c:pt>
                <c:pt idx="331">
                  <c:v>126.64873139646971</c:v>
                </c:pt>
                <c:pt idx="332">
                  <c:v>126.02372275154785</c:v>
                </c:pt>
                <c:pt idx="333">
                  <c:v>125.40289321700298</c:v>
                </c:pt>
                <c:pt idx="334">
                  <c:v>124.78651515912472</c:v>
                </c:pt>
                <c:pt idx="335">
                  <c:v>124.17485017658987</c:v>
                </c:pt>
                <c:pt idx="336">
                  <c:v>123.56814871073202</c:v>
                </c:pt>
                <c:pt idx="337">
                  <c:v>122.96664971270032</c:v>
                </c:pt>
                <c:pt idx="338">
                  <c:v>122.3705803673744</c:v>
                </c:pt>
                <c:pt idx="339">
                  <c:v>121.78015587341164</c:v>
                </c:pt>
                <c:pt idx="340">
                  <c:v>121.19557927839099</c:v>
                </c:pt>
                <c:pt idx="341">
                  <c:v>120.61704136759788</c:v>
                </c:pt>
                <c:pt idx="342">
                  <c:v>120.04472060465433</c:v>
                </c:pt>
                <c:pt idx="343">
                  <c:v>119.47878312186288</c:v>
                </c:pt>
                <c:pt idx="344">
                  <c:v>118.91938275786835</c:v>
                </c:pt>
                <c:pt idx="345">
                  <c:v>118.36666114000175</c:v>
                </c:pt>
                <c:pt idx="346">
                  <c:v>117.82074780848561</c:v>
                </c:pt>
                <c:pt idx="347">
                  <c:v>117.28176037953276</c:v>
                </c:pt>
                <c:pt idx="348">
                  <c:v>116.74980474425769</c:v>
                </c:pt>
                <c:pt idx="349">
                  <c:v>116.22497530026395</c:v>
                </c:pt>
                <c:pt idx="350">
                  <c:v>115.70735521273227</c:v>
                </c:pt>
                <c:pt idx="351">
                  <c:v>115.1970167018376</c:v>
                </c:pt>
                <c:pt idx="352">
                  <c:v>114.69402135336129</c:v>
                </c:pt>
                <c:pt idx="353">
                  <c:v>114.19842044942314</c:v>
                </c:pt>
                <c:pt idx="354">
                  <c:v>113.71025531634298</c:v>
                </c:pt>
                <c:pt idx="355">
                  <c:v>113.22955768675004</c:v>
                </c:pt>
                <c:pt idx="356">
                  <c:v>112.75635007317889</c:v>
                </c:pt>
                <c:pt idx="357">
                  <c:v>112.29064615053534</c:v>
                </c:pt>
                <c:pt idx="358">
                  <c:v>111.83245114495536</c:v>
                </c:pt>
                <c:pt idx="359">
                  <c:v>111.38176222674768</c:v>
                </c:pt>
                <c:pt idx="360">
                  <c:v>110.93856890526851</c:v>
                </c:pt>
                <c:pt idx="361">
                  <c:v>110.50285342374609</c:v>
                </c:pt>
                <c:pt idx="362">
                  <c:v>110.07459115224074</c:v>
                </c:pt>
                <c:pt idx="363">
                  <c:v>109.65375097709156</c:v>
                </c:pt>
                <c:pt idx="364">
                  <c:v>109.24029568536922</c:v>
                </c:pt>
                <c:pt idx="365">
                  <c:v>108.83418234301082</c:v>
                </c:pt>
                <c:pt idx="366">
                  <c:v>108.43536266547194</c:v>
                </c:pt>
                <c:pt idx="367">
                  <c:v>108.0437833798762</c:v>
                </c:pt>
                <c:pt idx="368">
                  <c:v>107.65938657778888</c:v>
                </c:pt>
                <c:pt idx="369">
                  <c:v>107.28211005787152</c:v>
                </c:pt>
                <c:pt idx="370">
                  <c:v>106.91188765780467</c:v>
                </c:pt>
                <c:pt idx="371">
                  <c:v>106.54864957497726</c:v>
                </c:pt>
                <c:pt idx="372">
                  <c:v>106.192322675559</c:v>
                </c:pt>
                <c:pt idx="373">
                  <c:v>105.84283079166423</c:v>
                </c:pt>
                <c:pt idx="374">
                  <c:v>105.50009500641168</c:v>
                </c:pt>
                <c:pt idx="375">
                  <c:v>105.16403392676982</c:v>
                </c:pt>
                <c:pt idx="376">
                  <c:v>104.834563944146</c:v>
                </c:pt>
                <c:pt idx="377">
                  <c:v>104.5115994827557</c:v>
                </c:pt>
                <c:pt idx="378">
                  <c:v>104.19505323585524</c:v>
                </c:pt>
                <c:pt idx="379">
                  <c:v>103.88483638998711</c:v>
                </c:pt>
                <c:pt idx="380">
                  <c:v>103.5808588374228</c:v>
                </c:pt>
                <c:pt idx="381">
                  <c:v>103.28302937703613</c:v>
                </c:pt>
                <c:pt idx="382">
                  <c:v>102.99125590386645</c:v>
                </c:pt>
                <c:pt idx="383">
                  <c:v>102.70544558766737</c:v>
                </c:pt>
                <c:pt idx="384">
                  <c:v>102.42550504075352</c:v>
                </c:pt>
                <c:pt idx="385">
                  <c:v>102.15134047548244</c:v>
                </c:pt>
                <c:pt idx="386">
                  <c:v>101.88285785172</c:v>
                </c:pt>
                <c:pt idx="387">
                  <c:v>101.61996301465049</c:v>
                </c:pt>
                <c:pt idx="388">
                  <c:v>101.3625618232999</c:v>
                </c:pt>
                <c:pt idx="389">
                  <c:v>101.11056027014631</c:v>
                </c:pt>
                <c:pt idx="390">
                  <c:v>100.86386459219328</c:v>
                </c:pt>
                <c:pt idx="391">
                  <c:v>100.62238137388005</c:v>
                </c:pt>
                <c:pt idx="392">
                  <c:v>100.38601764220402</c:v>
                </c:pt>
                <c:pt idx="393">
                  <c:v>100.15468095442236</c:v>
                </c:pt>
                <c:pt idx="394">
                  <c:v>99.928279478696794</c:v>
                </c:pt>
                <c:pt idx="395">
                  <c:v>99.706722068038914</c:v>
                </c:pt>
                <c:pt idx="396">
                  <c:v>99.48991832790162</c:v>
                </c:pt>
                <c:pt idx="397">
                  <c:v>99.277778677759258</c:v>
                </c:pt>
                <c:pt idx="398">
                  <c:v>99.070214407002652</c:v>
                </c:pt>
                <c:pt idx="399">
                  <c:v>98.867137725470059</c:v>
                </c:pt>
                <c:pt idx="400">
                  <c:v>98.668461808922316</c:v>
                </c:pt>
                <c:pt idx="401">
                  <c:v>98.474100839757753</c:v>
                </c:pt>
                <c:pt idx="402">
                  <c:v>98.283970043254698</c:v>
                </c:pt>
                <c:pt idx="403">
                  <c:v>98.097985719614258</c:v>
                </c:pt>
                <c:pt idx="404">
                  <c:v>97.916065272067286</c:v>
                </c:pt>
                <c:pt idx="405">
                  <c:v>97.738127231295948</c:v>
                </c:pt>
                <c:pt idx="406">
                  <c:v>97.564091276410466</c:v>
                </c:pt>
                <c:pt idx="407">
                  <c:v>97.393878252710422</c:v>
                </c:pt>
                <c:pt idx="408">
                  <c:v>97.227410186446292</c:v>
                </c:pt>
                <c:pt idx="409">
                  <c:v>97.06461029679015</c:v>
                </c:pt>
                <c:pt idx="410">
                  <c:v>96.90540300521144</c:v>
                </c:pt>
                <c:pt idx="411">
                  <c:v>96.749713942443208</c:v>
                </c:pt>
                <c:pt idx="412">
                  <c:v>96.597469953216418</c:v>
                </c:pt>
                <c:pt idx="413">
                  <c:v>96.448599098927446</c:v>
                </c:pt>
                <c:pt idx="414">
                  <c:v>96.3030306583982</c:v>
                </c:pt>
                <c:pt idx="415">
                  <c:v>96.160695126875325</c:v>
                </c:pt>
                <c:pt idx="416">
                  <c:v>96.021524213410643</c:v>
                </c:pt>
                <c:pt idx="417">
                  <c:v>95.885450836752284</c:v>
                </c:pt>
                <c:pt idx="418">
                  <c:v>95.752409119873434</c:v>
                </c:pt>
                <c:pt idx="419">
                  <c:v>95.622334383252138</c:v>
                </c:pt>
                <c:pt idx="420">
                  <c:v>95.495163137014288</c:v>
                </c:pt>
                <c:pt idx="421">
                  <c:v>95.37083307204017</c:v>
                </c:pt>
                <c:pt idx="422">
                  <c:v>95.249283050133073</c:v>
                </c:pt>
                <c:pt idx="423">
                  <c:v>95.13045309333647</c:v>
                </c:pt>
                <c:pt idx="424">
                  <c:v>95.014284372488248</c:v>
                </c:pt>
                <c:pt idx="425">
                  <c:v>94.90071919508685</c:v>
                </c:pt>
                <c:pt idx="426">
                  <c:v>94.789700992544681</c:v>
                </c:pt>
                <c:pt idx="427">
                  <c:v>94.681174306896978</c:v>
                </c:pt>
                <c:pt idx="428">
                  <c:v>94.575084777029332</c:v>
                </c:pt>
                <c:pt idx="429">
                  <c:v>94.471379124483576</c:v>
                </c:pt>
                <c:pt idx="430">
                  <c:v>94.370005138897255</c:v>
                </c:pt>
                <c:pt idx="431">
                  <c:v>94.270911663127777</c:v>
                </c:pt>
                <c:pt idx="432">
                  <c:v>94.174048578108781</c:v>
                </c:pt>
                <c:pt idx="433">
                  <c:v>94.079366787482627</c:v>
                </c:pt>
                <c:pt idx="434">
                  <c:v>93.986818202050472</c:v>
                </c:pt>
                <c:pt idx="435">
                  <c:v>93.896355724076486</c:v>
                </c:pt>
                <c:pt idx="436">
                  <c:v>93.807933231482451</c:v>
                </c:pt>
                <c:pt idx="437">
                  <c:v>93.721505561963397</c:v>
                </c:pt>
                <c:pt idx="438">
                  <c:v>93.637028497055184</c:v>
                </c:pt>
                <c:pt idx="439">
                  <c:v>93.554458746180146</c:v>
                </c:pt>
                <c:pt idx="440">
                  <c:v>93.473753930696773</c:v>
                </c:pt>
                <c:pt idx="441">
                  <c:v>93.394872567975355</c:v>
                </c:pt>
                <c:pt idx="442">
                  <c:v>93.317774055521411</c:v>
                </c:pt>
                <c:pt idx="443">
                  <c:v>93.242418655165338</c:v>
                </c:pt>
                <c:pt idx="444">
                  <c:v>93.16876747733636</c:v>
                </c:pt>
                <c:pt idx="445">
                  <c:v>93.096782465436036</c:v>
                </c:pt>
                <c:pt idx="446">
                  <c:v>93.026426380326015</c:v>
                </c:pt>
                <c:pt idx="447">
                  <c:v>92.957662784943224</c:v>
                </c:pt>
                <c:pt idx="448">
                  <c:v>92.890456029053752</c:v>
                </c:pt>
                <c:pt idx="449">
                  <c:v>92.824771234156174</c:v>
                </c:pt>
                <c:pt idx="450">
                  <c:v>92.760574278544027</c:v>
                </c:pt>
                <c:pt idx="451">
                  <c:v>92.697831782535189</c:v>
                </c:pt>
                <c:pt idx="452">
                  <c:v>92.636511093876223</c:v>
                </c:pt>
                <c:pt idx="453">
                  <c:v>92.576580273327821</c:v>
                </c:pt>
                <c:pt idx="454">
                  <c:v>92.518008080437269</c:v>
                </c:pt>
                <c:pt idx="455">
                  <c:v>92.460763959502756</c:v>
                </c:pt>
                <c:pt idx="456">
                  <c:v>92.404818025733888</c:v>
                </c:pt>
                <c:pt idx="457">
                  <c:v>92.350141051612013</c:v>
                </c:pt>
                <c:pt idx="458">
                  <c:v>92.296704453453231</c:v>
                </c:pt>
                <c:pt idx="459">
                  <c:v>92.244480278176653</c:v>
                </c:pt>
                <c:pt idx="460">
                  <c:v>92.193441190279742</c:v>
                </c:pt>
                <c:pt idx="461">
                  <c:v>92.143560459022467</c:v>
                </c:pt>
                <c:pt idx="462">
                  <c:v>92.094811945820624</c:v>
                </c:pt>
                <c:pt idx="463">
                  <c:v>92.047170091849893</c:v>
                </c:pt>
                <c:pt idx="464">
                  <c:v>92.000609905860088</c:v>
                </c:pt>
                <c:pt idx="465">
                  <c:v>91.955106952199927</c:v>
                </c:pt>
                <c:pt idx="466">
                  <c:v>91.910637339051874</c:v>
                </c:pt>
                <c:pt idx="467">
                  <c:v>91.867177706876348</c:v>
                </c:pt>
                <c:pt idx="468">
                  <c:v>91.82470521706442</c:v>
                </c:pt>
                <c:pt idx="469">
                  <c:v>91.783197540797687</c:v>
                </c:pt>
                <c:pt idx="470">
                  <c:v>91.742632848114496</c:v>
                </c:pt>
                <c:pt idx="471">
                  <c:v>91.702989797180066</c:v>
                </c:pt>
                <c:pt idx="472">
                  <c:v>91.664247523759883</c:v>
                </c:pt>
                <c:pt idx="473">
                  <c:v>91.626385630893452</c:v>
                </c:pt>
                <c:pt idx="474">
                  <c:v>91.589384178767247</c:v>
                </c:pt>
                <c:pt idx="475">
                  <c:v>91.553223674784107</c:v>
                </c:pt>
                <c:pt idx="476">
                  <c:v>91.517885063827279</c:v>
                </c:pt>
                <c:pt idx="477">
                  <c:v>91.483349718716582</c:v>
                </c:pt>
                <c:pt idx="478">
                  <c:v>91.449599430854022</c:v>
                </c:pt>
                <c:pt idx="479">
                  <c:v>91.41661640105707</c:v>
                </c:pt>
                <c:pt idx="480">
                  <c:v>91.384383230576177</c:v>
                </c:pt>
                <c:pt idx="481">
                  <c:v>91.352882912294632</c:v>
                </c:pt>
                <c:pt idx="482">
                  <c:v>91.322098822107606</c:v>
                </c:pt>
                <c:pt idx="483">
                  <c:v>91.292014710478028</c:v>
                </c:pt>
                <c:pt idx="484">
                  <c:v>91.262614694166373</c:v>
                </c:pt>
                <c:pt idx="485">
                  <c:v>91.233883248131704</c:v>
                </c:pt>
                <c:pt idx="486">
                  <c:v>91.205805197601137</c:v>
                </c:pt>
                <c:pt idx="487">
                  <c:v>91.178365710304874</c:v>
                </c:pt>
                <c:pt idx="488">
                  <c:v>91.151550288874489</c:v>
                </c:pt>
                <c:pt idx="489">
                  <c:v>91.125344763400832</c:v>
                </c:pt>
                <c:pt idx="490">
                  <c:v>91.099735284149631</c:v>
                </c:pt>
                <c:pt idx="491">
                  <c:v>91.074708314431419</c:v>
                </c:pt>
                <c:pt idx="492">
                  <c:v>91.05025062362337</c:v>
                </c:pt>
                <c:pt idx="493">
                  <c:v>91.026349280340085</c:v>
                </c:pt>
                <c:pt idx="494">
                  <c:v>91.002991645750569</c:v>
                </c:pt>
                <c:pt idx="495">
                  <c:v>90.980165367039035</c:v>
                </c:pt>
                <c:pt idx="496">
                  <c:v>90.957858371006211</c:v>
                </c:pt>
                <c:pt idx="497">
                  <c:v>90.936058857809186</c:v>
                </c:pt>
                <c:pt idx="498">
                  <c:v>90.91475529483651</c:v>
                </c:pt>
                <c:pt idx="499">
                  <c:v>90.893936410716364</c:v>
                </c:pt>
                <c:pt idx="500">
                  <c:v>90.873591189455027</c:v>
                </c:pt>
                <c:pt idx="501">
                  <c:v>90.853708864703137</c:v>
                </c:pt>
                <c:pt idx="502">
                  <c:v>90.834278914147006</c:v>
                </c:pt>
                <c:pt idx="503">
                  <c:v>90.81529105402295</c:v>
                </c:pt>
                <c:pt idx="504">
                  <c:v>90.796735233751633</c:v>
                </c:pt>
                <c:pt idx="505">
                  <c:v>90.778601630690346</c:v>
                </c:pt>
                <c:pt idx="506">
                  <c:v>90.760880645000825</c:v>
                </c:pt>
                <c:pt idx="507">
                  <c:v>90.743562894629946</c:v>
                </c:pt>
                <c:pt idx="508">
                  <c:v>90.726639210401302</c:v>
                </c:pt>
                <c:pt idx="509">
                  <c:v>90.710100631215198</c:v>
                </c:pt>
                <c:pt idx="510">
                  <c:v>90.693938399355034</c:v>
                </c:pt>
                <c:pt idx="511">
                  <c:v>90.678143955897241</c:v>
                </c:pt>
                <c:pt idx="512">
                  <c:v>90.662708936223694</c:v>
                </c:pt>
                <c:pt idx="513">
                  <c:v>90.647625165633144</c:v>
                </c:pt>
                <c:pt idx="514">
                  <c:v>90.632884655050688</c:v>
                </c:pt>
                <c:pt idx="515">
                  <c:v>90.6184795968326</c:v>
                </c:pt>
                <c:pt idx="516">
                  <c:v>90.604402360664579</c:v>
                </c:pt>
                <c:pt idx="517">
                  <c:v>90.590645489551491</c:v>
                </c:pt>
                <c:pt idx="518">
                  <c:v>90.577201695896875</c:v>
                </c:pt>
                <c:pt idx="519">
                  <c:v>90.564063857669666</c:v>
                </c:pt>
                <c:pt idx="520">
                  <c:v>90.55122501465695</c:v>
                </c:pt>
                <c:pt idx="521">
                  <c:v>90.538678364800475</c:v>
                </c:pt>
                <c:pt idx="522">
                  <c:v>90.526417260615247</c:v>
                </c:pt>
                <c:pt idx="523">
                  <c:v>90.514435205688372</c:v>
                </c:pt>
                <c:pt idx="524">
                  <c:v>90.502725851256415</c:v>
                </c:pt>
                <c:pt idx="525">
                  <c:v>90.49128299285978</c:v>
                </c:pt>
                <c:pt idx="526">
                  <c:v>90.480100567071901</c:v>
                </c:pt>
                <c:pt idx="527">
                  <c:v>90.469172648302219</c:v>
                </c:pt>
                <c:pt idx="528">
                  <c:v>90.458493445670996</c:v>
                </c:pt>
                <c:pt idx="529">
                  <c:v>90.448057299954286</c:v>
                </c:pt>
                <c:pt idx="530">
                  <c:v>90.437858680597927</c:v>
                </c:pt>
                <c:pt idx="531">
                  <c:v>90.427892182798615</c:v>
                </c:pt>
                <c:pt idx="532">
                  <c:v>90.418152524650779</c:v>
                </c:pt>
                <c:pt idx="533">
                  <c:v>90.408634544357852</c:v>
                </c:pt>
                <c:pt idx="534">
                  <c:v>90.399333197506323</c:v>
                </c:pt>
                <c:pt idx="535">
                  <c:v>90.390243554401437</c:v>
                </c:pt>
                <c:pt idx="536">
                  <c:v>90.381360797462904</c:v>
                </c:pt>
                <c:pt idx="537">
                  <c:v>90.372680218679506</c:v>
                </c:pt>
                <c:pt idx="538">
                  <c:v>90.364197217121145</c:v>
                </c:pt>
                <c:pt idx="539">
                  <c:v>90.355907296507183</c:v>
                </c:pt>
                <c:pt idx="540">
                  <c:v>90.347806062829633</c:v>
                </c:pt>
                <c:pt idx="541">
                  <c:v>90.339889222030223</c:v>
                </c:pt>
              </c:numCache>
            </c:numRef>
          </c:yVal>
          <c:smooth val="1"/>
          <c:extLst>
            <c:ext xmlns:c16="http://schemas.microsoft.com/office/drawing/2014/chart" uri="{C3380CC4-5D6E-409C-BE32-E72D297353CC}">
              <c16:uniqueId val="{00000001-C95D-4273-8D1D-E8C586949522}"/>
            </c:ext>
          </c:extLst>
        </c:ser>
        <c:dLbls>
          <c:showLegendKey val="0"/>
          <c:showVal val="0"/>
          <c:showCatName val="0"/>
          <c:showSerName val="0"/>
          <c:showPercent val="0"/>
          <c:showBubbleSize val="0"/>
        </c:dLbls>
        <c:axId val="160545024"/>
        <c:axId val="160543488"/>
      </c:scatterChart>
      <c:valAx>
        <c:axId val="160531200"/>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160533120"/>
        <c:crosses val="autoZero"/>
        <c:crossBetween val="midCat"/>
      </c:valAx>
      <c:valAx>
        <c:axId val="160533120"/>
        <c:scaling>
          <c:orientation val="minMax"/>
          <c:max val="40"/>
          <c:min val="-40"/>
        </c:scaling>
        <c:delete val="0"/>
        <c:axPos val="l"/>
        <c:majorGridlines/>
        <c:minorGridlines/>
        <c:title>
          <c:tx>
            <c:rich>
              <a:bodyPr rot="-5400000" vert="horz"/>
              <a:lstStyle/>
              <a:p>
                <a:pPr>
                  <a:defRPr/>
                </a:pPr>
                <a:r>
                  <a:rPr lang="en-US"/>
                  <a:t>Gain</a:t>
                </a:r>
                <a:r>
                  <a:rPr lang="en-US" baseline="0"/>
                  <a:t> (dB)</a:t>
                </a:r>
                <a:endParaRPr lang="en-US"/>
              </a:p>
            </c:rich>
          </c:tx>
          <c:overlay val="0"/>
        </c:title>
        <c:numFmt formatCode="General" sourceLinked="0"/>
        <c:majorTickMark val="out"/>
        <c:minorTickMark val="none"/>
        <c:tickLblPos val="nextTo"/>
        <c:crossAx val="160531200"/>
        <c:crosses val="autoZero"/>
        <c:crossBetween val="midCat"/>
        <c:majorUnit val="20"/>
        <c:minorUnit val="10"/>
      </c:valAx>
      <c:valAx>
        <c:axId val="160543488"/>
        <c:scaling>
          <c:orientation val="minMax"/>
          <c:max val="180"/>
          <c:min val="-180"/>
        </c:scaling>
        <c:delete val="0"/>
        <c:axPos val="r"/>
        <c:numFmt formatCode="General" sourceLinked="1"/>
        <c:majorTickMark val="out"/>
        <c:minorTickMark val="none"/>
        <c:tickLblPos val="nextTo"/>
        <c:crossAx val="160545024"/>
        <c:crosses val="max"/>
        <c:crossBetween val="midCat"/>
        <c:majorUnit val="90"/>
        <c:minorUnit val="45"/>
      </c:valAx>
      <c:valAx>
        <c:axId val="160545024"/>
        <c:scaling>
          <c:logBase val="10"/>
          <c:orientation val="minMax"/>
        </c:scaling>
        <c:delete val="1"/>
        <c:axPos val="b"/>
        <c:numFmt formatCode="0.00" sourceLinked="1"/>
        <c:majorTickMark val="out"/>
        <c:minorTickMark val="none"/>
        <c:tickLblPos val="nextTo"/>
        <c:crossAx val="160543488"/>
        <c:crosses val="autoZero"/>
        <c:crossBetween val="midCat"/>
      </c:valAx>
    </c:plotArea>
    <c:legend>
      <c:legendPos val="r"/>
      <c:layout>
        <c:manualLayout>
          <c:xMode val="edge"/>
          <c:yMode val="edge"/>
          <c:x val="0.79880558209512509"/>
          <c:y val="0.14321997959862004"/>
          <c:w val="0.13485048155591431"/>
          <c:h val="0.10528624969913696"/>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Control Loop Transfer Function</a:t>
            </a:r>
          </a:p>
        </c:rich>
      </c:tx>
      <c:overlay val="0"/>
    </c:title>
    <c:autoTitleDeleted val="0"/>
    <c:plotArea>
      <c:layout/>
      <c:scatterChart>
        <c:scatterStyle val="smoothMarker"/>
        <c:varyColors val="0"/>
        <c:ser>
          <c:idx val="0"/>
          <c:order val="0"/>
          <c:tx>
            <c:v>Gain (dB)</c:v>
          </c:tx>
          <c:spPr>
            <a:ln w="38100">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Loop_Modeling!$AT$19:$AT$560</c:f>
              <c:numCache>
                <c:formatCode>0.000</c:formatCode>
                <c:ptCount val="542"/>
                <c:pt idx="0">
                  <c:v>78.261275474228626</c:v>
                </c:pt>
                <c:pt idx="1">
                  <c:v>78.024717177601431</c:v>
                </c:pt>
                <c:pt idx="2">
                  <c:v>77.786796511140082</c:v>
                </c:pt>
                <c:pt idx="3">
                  <c:v>77.54747683877072</c:v>
                </c:pt>
                <c:pt idx="4">
                  <c:v>77.306721618118843</c:v>
                </c:pt>
                <c:pt idx="5">
                  <c:v>77.064494492243341</c:v>
                </c:pt>
                <c:pt idx="6">
                  <c:v>76.820759386278098</c:v>
                </c:pt>
                <c:pt idx="7">
                  <c:v>76.575480608784545</c:v>
                </c:pt>
                <c:pt idx="8">
                  <c:v>76.328622957567291</c:v>
                </c:pt>
                <c:pt idx="9">
                  <c:v>76.080151829652905</c:v>
                </c:pt>
                <c:pt idx="10">
                  <c:v>75.830033335079904</c:v>
                </c:pt>
                <c:pt idx="11">
                  <c:v>75.578234414091966</c:v>
                </c:pt>
                <c:pt idx="12">
                  <c:v>75.324722957276677</c:v>
                </c:pt>
                <c:pt idx="13">
                  <c:v>75.069467928137797</c:v>
                </c:pt>
                <c:pt idx="14">
                  <c:v>74.81243948754036</c:v>
                </c:pt>
                <c:pt idx="15">
                  <c:v>74.553609119422248</c:v>
                </c:pt>
                <c:pt idx="16">
                  <c:v>74.292949757119857</c:v>
                </c:pt>
                <c:pt idx="17">
                  <c:v>74.030435909621616</c:v>
                </c:pt>
                <c:pt idx="18">
                  <c:v>73.766043787026959</c:v>
                </c:pt>
                <c:pt idx="19">
                  <c:v>73.499751424463852</c:v>
                </c:pt>
                <c:pt idx="20">
                  <c:v>73.231538803699436</c:v>
                </c:pt>
                <c:pt idx="21">
                  <c:v>72.961387971666497</c:v>
                </c:pt>
                <c:pt idx="22">
                  <c:v>72.689283155126546</c:v>
                </c:pt>
                <c:pt idx="23">
                  <c:v>72.415210870697067</c:v>
                </c:pt>
                <c:pt idx="24">
                  <c:v>72.139160029485353</c:v>
                </c:pt>
                <c:pt idx="25">
                  <c:v>71.861122035597162</c:v>
                </c:pt>
                <c:pt idx="26">
                  <c:v>71.58109087782347</c:v>
                </c:pt>
                <c:pt idx="27">
                  <c:v>71.29906321385063</c:v>
                </c:pt>
                <c:pt idx="28">
                  <c:v>71.015038446392381</c:v>
                </c:pt>
                <c:pt idx="29">
                  <c:v>70.72901879070389</c:v>
                </c:pt>
                <c:pt idx="30">
                  <c:v>70.441009333002697</c:v>
                </c:pt>
                <c:pt idx="31">
                  <c:v>70.151018079397872</c:v>
                </c:pt>
                <c:pt idx="32">
                  <c:v>69.859055995008845</c:v>
                </c:pt>
                <c:pt idx="33">
                  <c:v>69.565137033034844</c:v>
                </c:pt>
                <c:pt idx="34">
                  <c:v>69.269278153626118</c:v>
                </c:pt>
                <c:pt idx="35">
                  <c:v>68.971499332495128</c:v>
                </c:pt>
                <c:pt idx="36">
                  <c:v>68.671823559289194</c:v>
                </c:pt>
                <c:pt idx="37">
                  <c:v>68.370276825838218</c:v>
                </c:pt>
                <c:pt idx="38">
                  <c:v>68.066888104469726</c:v>
                </c:pt>
                <c:pt idx="39">
                  <c:v>67.761689316662498</c:v>
                </c:pt>
                <c:pt idx="40">
                  <c:v>67.454715292386112</c:v>
                </c:pt>
                <c:pt idx="41">
                  <c:v>67.146003720536797</c:v>
                </c:pt>
                <c:pt idx="42">
                  <c:v>66.835595090941879</c:v>
                </c:pt>
                <c:pt idx="43">
                  <c:v>66.523532628453864</c:v>
                </c:pt>
                <c:pt idx="44">
                  <c:v>66.209862219697598</c:v>
                </c:pt>
                <c:pt idx="45">
                  <c:v>65.894632333066042</c:v>
                </c:pt>
                <c:pt idx="46">
                  <c:v>65.577893932583024</c:v>
                </c:pt>
                <c:pt idx="47">
                  <c:v>65.259700386263006</c:v>
                </c:pt>
                <c:pt idx="48">
                  <c:v>64.940107369601947</c:v>
                </c:pt>
                <c:pt idx="49">
                  <c:v>64.619172764828093</c:v>
                </c:pt>
                <c:pt idx="50">
                  <c:v>64.296956556523895</c:v>
                </c:pt>
                <c:pt idx="51">
                  <c:v>63.973520724211568</c:v>
                </c:pt>
                <c:pt idx="52">
                  <c:v>63.648929132459628</c:v>
                </c:pt>
                <c:pt idx="53">
                  <c:v>63.323247419036697</c:v>
                </c:pt>
                <c:pt idx="54">
                  <c:v>62.996542881590969</c:v>
                </c:pt>
                <c:pt idx="55">
                  <c:v>62.668884363291809</c:v>
                </c:pt>
                <c:pt idx="56">
                  <c:v>62.340342137817537</c:v>
                </c:pt>
                <c:pt idx="57">
                  <c:v>62.010987794021261</c:v>
                </c:pt>
                <c:pt idx="58">
                  <c:v>61.680894120554477</c:v>
                </c:pt>
                <c:pt idx="59">
                  <c:v>61.350134990672615</c:v>
                </c:pt>
                <c:pt idx="60">
                  <c:v>61.018785247394888</c:v>
                </c:pt>
                <c:pt idx="61">
                  <c:v>60.686920589140492</c:v>
                </c:pt>
                <c:pt idx="62">
                  <c:v>60.354617455912532</c:v>
                </c:pt>
                <c:pt idx="63">
                  <c:v>60.021952916058403</c:v>
                </c:pt>
                <c:pt idx="64">
                  <c:v>59.689004553594259</c:v>
                </c:pt>
                <c:pt idx="65">
                  <c:v>59.35585035604484</c:v>
                </c:pt>
                <c:pt idx="66">
                  <c:v>59.022568602720824</c:v>
                </c:pt>
                <c:pt idx="67">
                  <c:v>58.689237753331128</c:v>
                </c:pt>
                <c:pt idx="68">
                  <c:v>58.355936336810963</c:v>
                </c:pt>
                <c:pt idx="69">
                  <c:v>58.022742840233512</c:v>
                </c:pt>
                <c:pt idx="70">
                  <c:v>57.689735597670442</c:v>
                </c:pt>
                <c:pt idx="71">
                  <c:v>57.356992678868657</c:v>
                </c:pt>
                <c:pt idx="72">
                  <c:v>57.024591777619911</c:v>
                </c:pt>
                <c:pt idx="73">
                  <c:v>56.692610099715488</c:v>
                </c:pt>
                <c:pt idx="74">
                  <c:v>56.361124250401417</c:v>
                </c:pt>
                <c:pt idx="75">
                  <c:v>56.030210121278813</c:v>
                </c:pt>
                <c:pt idx="76">
                  <c:v>55.699942776625946</c:v>
                </c:pt>
                <c:pt idx="77">
                  <c:v>55.370396339161225</c:v>
                </c:pt>
                <c:pt idx="78">
                  <c:v>55.041643875306477</c:v>
                </c:pt>
                <c:pt idx="79">
                  <c:v>54.713757280061166</c:v>
                </c:pt>
                <c:pt idx="80">
                  <c:v>54.386807161645208</c:v>
                </c:pt>
                <c:pt idx="81">
                  <c:v>54.06086272612329</c:v>
                </c:pt>
                <c:pt idx="82">
                  <c:v>53.735991662275921</c:v>
                </c:pt>
                <c:pt idx="83">
                  <c:v>53.412260027035089</c:v>
                </c:pt>
                <c:pt idx="84">
                  <c:v>53.089732131858369</c:v>
                </c:pt>
                <c:pt idx="85">
                  <c:v>52.768470430461917</c:v>
                </c:pt>
                <c:pt idx="86">
                  <c:v>52.448535408383272</c:v>
                </c:pt>
                <c:pt idx="87">
                  <c:v>52.129985474887881</c:v>
                </c:pt>
                <c:pt idx="88">
                  <c:v>51.812876857768686</c:v>
                </c:pt>
                <c:pt idx="89">
                  <c:v>51.497263501624658</c:v>
                </c:pt>
                <c:pt idx="90">
                  <c:v>51.183196970224259</c:v>
                </c:pt>
                <c:pt idx="91">
                  <c:v>50.870726353580238</c:v>
                </c:pt>
                <c:pt idx="92">
                  <c:v>50.559898180367703</c:v>
                </c:pt>
                <c:pt idx="93">
                  <c:v>50.250756336319363</c:v>
                </c:pt>
                <c:pt idx="94">
                  <c:v>49.943341989218126</c:v>
                </c:pt>
                <c:pt idx="95">
                  <c:v>49.637693521091322</c:v>
                </c:pt>
                <c:pt idx="96">
                  <c:v>49.333846468175636</c:v>
                </c:pt>
                <c:pt idx="97">
                  <c:v>49.03183346918928</c:v>
                </c:pt>
                <c:pt idx="98">
                  <c:v>48.731684222392872</c:v>
                </c:pt>
                <c:pt idx="99">
                  <c:v>48.433425451867784</c:v>
                </c:pt>
                <c:pt idx="100">
                  <c:v>48.137080883374608</c:v>
                </c:pt>
                <c:pt idx="101">
                  <c:v>47.842671230082388</c:v>
                </c:pt>
                <c:pt idx="102">
                  <c:v>47.550214188382149</c:v>
                </c:pt>
                <c:pt idx="103">
                  <c:v>47.259724443916156</c:v>
                </c:pt>
                <c:pt idx="104">
                  <c:v>46.971213687868868</c:v>
                </c:pt>
                <c:pt idx="105">
                  <c:v>46.684690643478952</c:v>
                </c:pt>
                <c:pt idx="106">
                  <c:v>46.400161102642684</c:v>
                </c:pt>
                <c:pt idx="107">
                  <c:v>46.117627972394629</c:v>
                </c:pt>
                <c:pt idx="108">
                  <c:v>45.837091330965137</c:v>
                </c:pt>
                <c:pt idx="109">
                  <c:v>45.55854849303438</c:v>
                </c:pt>
                <c:pt idx="110">
                  <c:v>45.281994083728691</c:v>
                </c:pt>
                <c:pt idx="111">
                  <c:v>45.007420120832236</c:v>
                </c:pt>
                <c:pt idx="112">
                  <c:v>44.734816104628401</c:v>
                </c:pt>
                <c:pt idx="113">
                  <c:v>44.464169114728335</c:v>
                </c:pt>
                <c:pt idx="114">
                  <c:v>44.195463913199205</c:v>
                </c:pt>
                <c:pt idx="115">
                  <c:v>43.92868305326806</c:v>
                </c:pt>
                <c:pt idx="116">
                  <c:v>43.663806992849253</c:v>
                </c:pt>
                <c:pt idx="117">
                  <c:v>43.400814212126903</c:v>
                </c:pt>
                <c:pt idx="118">
                  <c:v>43.139681334410611</c:v>
                </c:pt>
                <c:pt idx="119">
                  <c:v>42.880383249490393</c:v>
                </c:pt>
                <c:pt idx="120">
                  <c:v>42.622893238716919</c:v>
                </c:pt>
                <c:pt idx="121">
                  <c:v>42.367183101057989</c:v>
                </c:pt>
                <c:pt idx="122">
                  <c:v>42.113223279400671</c:v>
                </c:pt>
                <c:pt idx="123">
                  <c:v>41.860982986402874</c:v>
                </c:pt>
                <c:pt idx="124">
                  <c:v>41.610430329233708</c:v>
                </c:pt>
                <c:pt idx="125">
                  <c:v>41.361532432584013</c:v>
                </c:pt>
                <c:pt idx="126">
                  <c:v>41.114255559373596</c:v>
                </c:pt>
                <c:pt idx="127">
                  <c:v>40.868565228632825</c:v>
                </c:pt>
                <c:pt idx="128">
                  <c:v>40.62442633008429</c:v>
                </c:pt>
                <c:pt idx="129">
                  <c:v>40.381803235005776</c:v>
                </c:pt>
                <c:pt idx="130">
                  <c:v>40.140659903008782</c:v>
                </c:pt>
                <c:pt idx="131">
                  <c:v>39.900959984417241</c:v>
                </c:pt>
                <c:pt idx="132">
                  <c:v>39.662666917988332</c:v>
                </c:pt>
                <c:pt idx="133">
                  <c:v>39.425744023764281</c:v>
                </c:pt>
                <c:pt idx="134">
                  <c:v>39.190154590893677</c:v>
                </c:pt>
                <c:pt idx="135">
                  <c:v>38.95586196031261</c:v>
                </c:pt>
                <c:pt idx="136">
                  <c:v>38.722829602210432</c:v>
                </c:pt>
                <c:pt idx="137">
                  <c:v>38.491021188256454</c:v>
                </c:pt>
                <c:pt idx="138">
                  <c:v>38.260400658594108</c:v>
                </c:pt>
                <c:pt idx="139">
                  <c:v>38.030932283647893</c:v>
                </c:pt>
                <c:pt idx="140">
                  <c:v>37.802580720816309</c:v>
                </c:pt>
                <c:pt idx="141">
                  <c:v>37.575311066155429</c:v>
                </c:pt>
                <c:pt idx="142">
                  <c:v>37.349088901177467</c:v>
                </c:pt>
                <c:pt idx="143">
                  <c:v>37.123880334913423</c:v>
                </c:pt>
                <c:pt idx="144">
                  <c:v>36.899652041404678</c:v>
                </c:pt>
                <c:pt idx="145">
                  <c:v>36.676371292801775</c:v>
                </c:pt>
                <c:pt idx="146">
                  <c:v>36.454005988263852</c:v>
                </c:pt>
                <c:pt idx="147">
                  <c:v>36.232524678857054</c:v>
                </c:pt>
                <c:pt idx="148">
                  <c:v>36.011896588659219</c:v>
                </c:pt>
                <c:pt idx="149">
                  <c:v>35.792091632281441</c:v>
                </c:pt>
                <c:pt idx="150">
                  <c:v>35.573080429019647</c:v>
                </c:pt>
                <c:pt idx="151">
                  <c:v>35.354834313847533</c:v>
                </c:pt>
                <c:pt idx="152">
                  <c:v>35.137325345463815</c:v>
                </c:pt>
                <c:pt idx="153">
                  <c:v>34.920526311601485</c:v>
                </c:pt>
                <c:pt idx="154">
                  <c:v>34.704410731802547</c:v>
                </c:pt>
                <c:pt idx="155">
                  <c:v>34.488952857857591</c:v>
                </c:pt>
                <c:pt idx="156">
                  <c:v>34.27412767210307</c:v>
                </c:pt>
                <c:pt idx="157">
                  <c:v>34.059910883760772</c:v>
                </c:pt>
                <c:pt idx="158">
                  <c:v>33.84627892349927</c:v>
                </c:pt>
                <c:pt idx="159">
                  <c:v>33.63320893638479</c:v>
                </c:pt>
                <c:pt idx="160">
                  <c:v>33.420678773386896</c:v>
                </c:pt>
                <c:pt idx="161">
                  <c:v>33.208666981588976</c:v>
                </c:pt>
                <c:pt idx="162">
                  <c:v>32.997152793249981</c:v>
                </c:pt>
                <c:pt idx="163">
                  <c:v>32.786116113853282</c:v>
                </c:pt>
                <c:pt idx="164">
                  <c:v>32.57553750926953</c:v>
                </c:pt>
                <c:pt idx="165">
                  <c:v>32.365398192153023</c:v>
                </c:pt>
                <c:pt idx="166">
                  <c:v>32.155680007681774</c:v>
                </c:pt>
                <c:pt idx="167">
                  <c:v>31.94636541874435</c:v>
                </c:pt>
                <c:pt idx="168">
                  <c:v>31.737437490667268</c:v>
                </c:pt>
                <c:pt idx="169">
                  <c:v>31.528879875571285</c:v>
                </c:pt>
                <c:pt idx="170">
                  <c:v>31.320676796435009</c:v>
                </c:pt>
                <c:pt idx="171">
                  <c:v>31.112813030940032</c:v>
                </c:pt>
                <c:pt idx="172">
                  <c:v>30.905273895162782</c:v>
                </c:pt>
                <c:pt idx="173">
                  <c:v>30.698045227174138</c:v>
                </c:pt>
                <c:pt idx="174">
                  <c:v>30.491113370599436</c:v>
                </c:pt>
                <c:pt idx="175">
                  <c:v>30.284465158189068</c:v>
                </c:pt>
                <c:pt idx="176">
                  <c:v>30.078087895441392</c:v>
                </c:pt>
                <c:pt idx="177">
                  <c:v>29.871969344317428</c:v>
                </c:pt>
                <c:pt idx="178">
                  <c:v>29.666097707079491</c:v>
                </c:pt>
                <c:pt idx="179">
                  <c:v>29.460461610285833</c:v>
                </c:pt>
                <c:pt idx="180">
                  <c:v>29.255050088963177</c:v>
                </c:pt>
                <c:pt idx="181">
                  <c:v>29.049852570982214</c:v>
                </c:pt>
                <c:pt idx="182">
                  <c:v>28.844858861652405</c:v>
                </c:pt>
                <c:pt idx="183">
                  <c:v>28.640059128552039</c:v>
                </c:pt>
                <c:pt idx="184">
                  <c:v>28.435443886605206</c:v>
                </c:pt>
                <c:pt idx="185">
                  <c:v>28.231003983417089</c:v>
                </c:pt>
                <c:pt idx="186">
                  <c:v>28.026730584871803</c:v>
                </c:pt>
                <c:pt idx="187">
                  <c:v>27.82261516100132</c:v>
                </c:pt>
                <c:pt idx="188">
                  <c:v>27.618649472125153</c:v>
                </c:pt>
                <c:pt idx="189">
                  <c:v>27.414825555264404</c:v>
                </c:pt>
                <c:pt idx="190">
                  <c:v>27.211135710828632</c:v>
                </c:pt>
                <c:pt idx="191">
                  <c:v>27.007572489573231</c:v>
                </c:pt>
                <c:pt idx="192">
                  <c:v>26.804128679824515</c:v>
                </c:pt>
                <c:pt idx="193">
                  <c:v>26.600797294967858</c:v>
                </c:pt>
                <c:pt idx="194">
                  <c:v>26.39757156119262</c:v>
                </c:pt>
                <c:pt idx="195">
                  <c:v>26.194444905487963</c:v>
                </c:pt>
                <c:pt idx="196">
                  <c:v>25.991410943881384</c:v>
                </c:pt>
                <c:pt idx="197">
                  <c:v>25.788463469912003</c:v>
                </c:pt>
                <c:pt idx="198">
                  <c:v>25.585596443329152</c:v>
                </c:pt>
                <c:pt idx="199">
                  <c:v>25.382803979007388</c:v>
                </c:pt>
                <c:pt idx="200">
                  <c:v>25.180080336066958</c:v>
                </c:pt>
                <c:pt idx="201">
                  <c:v>24.977419907189265</c:v>
                </c:pt>
                <c:pt idx="202">
                  <c:v>24.774817208117664</c:v>
                </c:pt>
                <c:pt idx="203">
                  <c:v>24.572266867329603</c:v>
                </c:pt>
                <c:pt idx="204">
                  <c:v>24.369763615871513</c:v>
                </c:pt>
                <c:pt idx="205">
                  <c:v>24.167302277341939</c:v>
                </c:pt>
                <c:pt idx="206">
                  <c:v>23.964877758013252</c:v>
                </c:pt>
                <c:pt idx="207">
                  <c:v>23.762485037077386</c:v>
                </c:pt>
                <c:pt idx="208">
                  <c:v>23.56011915700552</c:v>
                </c:pt>
                <c:pt idx="209">
                  <c:v>23.357775214007717</c:v>
                </c:pt>
                <c:pt idx="210">
                  <c:v>23.155448348581164</c:v>
                </c:pt>
                <c:pt idx="211">
                  <c:v>22.953133736133658</c:v>
                </c:pt>
                <c:pt idx="212">
                  <c:v>22.750826577671145</c:v>
                </c:pt>
                <c:pt idx="213">
                  <c:v>22.548522090535499</c:v>
                </c:pt>
                <c:pt idx="214">
                  <c:v>22.346215499181724</c:v>
                </c:pt>
                <c:pt idx="215">
                  <c:v>22.143902025981724</c:v>
                </c:pt>
                <c:pt idx="216">
                  <c:v>21.941576882041474</c:v>
                </c:pt>
                <c:pt idx="217">
                  <c:v>21.739235258023697</c:v>
                </c:pt>
                <c:pt idx="218">
                  <c:v>21.536872314958199</c:v>
                </c:pt>
                <c:pt idx="219">
                  <c:v>21.334483175035093</c:v>
                </c:pt>
                <c:pt idx="220">
                  <c:v>21.132062912364489</c:v>
                </c:pt>
                <c:pt idx="221">
                  <c:v>20.929606543694888</c:v>
                </c:pt>
                <c:pt idx="222">
                  <c:v>20.727109019079499</c:v>
                </c:pt>
                <c:pt idx="223">
                  <c:v>20.524565212478279</c:v>
                </c:pt>
                <c:pt idx="224">
                  <c:v>20.321969912288967</c:v>
                </c:pt>
                <c:pt idx="225">
                  <c:v>20.119317811796179</c:v>
                </c:pt>
                <c:pt idx="226">
                  <c:v>19.916603499530208</c:v>
                </c:pt>
                <c:pt idx="227">
                  <c:v>19.713821449528162</c:v>
                </c:pt>
                <c:pt idx="228">
                  <c:v>19.510966011489472</c:v>
                </c:pt>
                <c:pt idx="229">
                  <c:v>19.308031400819367</c:v>
                </c:pt>
                <c:pt idx="230">
                  <c:v>19.105011688555017</c:v>
                </c:pt>
                <c:pt idx="231">
                  <c:v>18.901900791169194</c:v>
                </c:pt>
                <c:pt idx="232">
                  <c:v>18.698692460247422</c:v>
                </c:pt>
                <c:pt idx="233">
                  <c:v>18.495380272036716</c:v>
                </c:pt>
                <c:pt idx="234">
                  <c:v>18.29195761686298</c:v>
                </c:pt>
                <c:pt idx="235">
                  <c:v>18.088417688419472</c:v>
                </c:pt>
                <c:pt idx="236">
                  <c:v>17.884753472924746</c:v>
                </c:pt>
                <c:pt idx="237">
                  <c:v>17.680957738154618</c:v>
                </c:pt>
                <c:pt idx="238">
                  <c:v>17.477023022354352</c:v>
                </c:pt>
                <c:pt idx="239">
                  <c:v>17.27294162303361</c:v>
                </c:pt>
                <c:pt idx="240">
                  <c:v>17.068705585657369</c:v>
                </c:pt>
                <c:pt idx="241">
                  <c:v>16.864306692241556</c:v>
                </c:pt>
                <c:pt idx="242">
                  <c:v>16.659736449866788</c:v>
                </c:pt>
                <c:pt idx="243">
                  <c:v>16.454986079127412</c:v>
                </c:pt>
                <c:pt idx="244">
                  <c:v>16.250046502534772</c:v>
                </c:pt>
                <c:pt idx="245">
                  <c:v>16.044908332896117</c:v>
                </c:pt>
                <c:pt idx="246">
                  <c:v>15.839561861695884</c:v>
                </c:pt>
                <c:pt idx="247">
                  <c:v>15.633997047508801</c:v>
                </c:pt>
                <c:pt idx="248">
                  <c:v>15.428203504475377</c:v>
                </c:pt>
                <c:pt idx="249">
                  <c:v>15.222170490881918</c:v>
                </c:pt>
                <c:pt idx="250">
                  <c:v>15.015886897881911</c:v>
                </c:pt>
                <c:pt idx="251">
                  <c:v>14.809341238408518</c:v>
                </c:pt>
                <c:pt idx="252">
                  <c:v>14.602521636328616</c:v>
                </c:pt>
                <c:pt idx="253">
                  <c:v>14.395415815895852</c:v>
                </c:pt>
                <c:pt idx="254">
                  <c:v>14.188011091564016</c:v>
                </c:pt>
                <c:pt idx="255">
                  <c:v>13.980294358231109</c:v>
                </c:pt>
                <c:pt idx="256">
                  <c:v>13.772252081987224</c:v>
                </c:pt>
                <c:pt idx="257">
                  <c:v>13.563870291447557</c:v>
                </c:pt>
                <c:pt idx="258">
                  <c:v>13.355134569760136</c:v>
                </c:pt>
                <c:pt idx="259">
                  <c:v>13.146030047379938</c:v>
                </c:pt>
                <c:pt idx="260">
                  <c:v>12.936541395714535</c:v>
                </c:pt>
                <c:pt idx="261">
                  <c:v>12.726652821748615</c:v>
                </c:pt>
                <c:pt idx="262">
                  <c:v>12.516348063765451</c:v>
                </c:pt>
                <c:pt idx="263">
                  <c:v>12.305610388287961</c:v>
                </c:pt>
                <c:pt idx="264">
                  <c:v>12.094422588373332</c:v>
                </c:pt>
                <c:pt idx="265">
                  <c:v>11.882766983398682</c:v>
                </c:pt>
                <c:pt idx="266">
                  <c:v>11.670625420485607</c:v>
                </c:pt>
                <c:pt idx="267">
                  <c:v>11.457979277717039</c:v>
                </c:pt>
                <c:pt idx="268">
                  <c:v>11.244809469306245</c:v>
                </c:pt>
                <c:pt idx="269">
                  <c:v>11.031096452886416</c:v>
                </c:pt>
                <c:pt idx="270">
                  <c:v>10.816820239090932</c:v>
                </c:pt>
                <c:pt idx="271">
                  <c:v>10.601960403603641</c:v>
                </c:pt>
                <c:pt idx="272">
                  <c:v>10.386496101860342</c:v>
                </c:pt>
                <c:pt idx="273">
                  <c:v>10.170406086584386</c:v>
                </c:pt>
                <c:pt idx="274">
                  <c:v>9.9536687283436933</c:v>
                </c:pt>
                <c:pt idx="275">
                  <c:v>9.7362620393153385</c:v>
                </c:pt>
                <c:pt idx="276">
                  <c:v>9.5181637004417414</c:v>
                </c:pt>
                <c:pt idx="277">
                  <c:v>9.299351092160709</c:v>
                </c:pt>
                <c:pt idx="278">
                  <c:v>9.0798013288840522</c:v>
                </c:pt>
                <c:pt idx="279">
                  <c:v>8.8594912973944187</c:v>
                </c:pt>
                <c:pt idx="280">
                  <c:v>8.6383976993168048</c:v>
                </c:pt>
                <c:pt idx="281">
                  <c:v>8.4164970978098612</c:v>
                </c:pt>
                <c:pt idx="282">
                  <c:v>8.1937659686057245</c:v>
                </c:pt>
                <c:pt idx="283">
                  <c:v>7.9701807555069228</c:v>
                </c:pt>
                <c:pt idx="284">
                  <c:v>7.7457179304268644</c:v>
                </c:pt>
                <c:pt idx="285">
                  <c:v>7.5203540580343242</c:v>
                </c:pt>
                <c:pt idx="286">
                  <c:v>7.2940658650323513</c:v>
                </c:pt>
                <c:pt idx="287">
                  <c:v>7.0668303140670634</c:v>
                </c:pt>
                <c:pt idx="288">
                  <c:v>6.8386246822273513</c:v>
                </c:pt>
                <c:pt idx="289">
                  <c:v>6.6094266440523572</c:v>
                </c:pt>
                <c:pt idx="290">
                  <c:v>6.3792143589198993</c:v>
                </c:pt>
                <c:pt idx="291">
                  <c:v>6.1479665626425728</c:v>
                </c:pt>
                <c:pt idx="292">
                  <c:v>5.9156626630433964</c:v>
                </c:pt>
                <c:pt idx="293">
                  <c:v>5.6822828392311076</c:v>
                </c:pt>
                <c:pt idx="294">
                  <c:v>5.4478081442369266</c:v>
                </c:pt>
                <c:pt idx="295">
                  <c:v>5.2122206106158764</c:v>
                </c:pt>
                <c:pt idx="296">
                  <c:v>4.9755033585559998</c:v>
                </c:pt>
                <c:pt idx="297">
                  <c:v>4.7376407059749335</c:v>
                </c:pt>
                <c:pt idx="298">
                  <c:v>4.4986182800256342</c:v>
                </c:pt>
                <c:pt idx="299">
                  <c:v>4.2584231293695298</c:v>
                </c:pt>
                <c:pt idx="300">
                  <c:v>4.0170438365171668</c:v>
                </c:pt>
                <c:pt idx="301">
                  <c:v>3.7744706294819101</c:v>
                </c:pt>
                <c:pt idx="302">
                  <c:v>3.530695491936938</c:v>
                </c:pt>
                <c:pt idx="303">
                  <c:v>3.2857122710210995</c:v>
                </c:pt>
                <c:pt idx="304">
                  <c:v>3.0395167818942355</c:v>
                </c:pt>
                <c:pt idx="305">
                  <c:v>2.7921069081115819</c:v>
                </c:pt>
                <c:pt idx="306">
                  <c:v>2.5434826968549173</c:v>
                </c:pt>
                <c:pt idx="307">
                  <c:v>2.2936464480459571</c:v>
                </c:pt>
                <c:pt idx="308">
                  <c:v>2.0426027963526585</c:v>
                </c:pt>
                <c:pt idx="309">
                  <c:v>1.7903587851082188</c:v>
                </c:pt>
                <c:pt idx="310">
                  <c:v>1.5369239311715843</c:v>
                </c:pt>
                <c:pt idx="311">
                  <c:v>1.2823102797843053</c:v>
                </c:pt>
                <c:pt idx="312">
                  <c:v>1.0265324485201133</c:v>
                </c:pt>
                <c:pt idx="313">
                  <c:v>0.76960765946800502</c:v>
                </c:pt>
                <c:pt idx="314">
                  <c:v>0.51155575885695892</c:v>
                </c:pt>
                <c:pt idx="315">
                  <c:v>0.25239922340183729</c:v>
                </c:pt>
                <c:pt idx="316">
                  <c:v>-7.8368472632681929E-3</c:v>
                </c:pt>
                <c:pt idx="317">
                  <c:v>-0.26912475259860769</c:v>
                </c:pt>
                <c:pt idx="318">
                  <c:v>-0.53143422805161655</c:v>
                </c:pt>
                <c:pt idx="319">
                  <c:v>-0.79473249713847971</c:v>
                </c:pt>
                <c:pt idx="320">
                  <c:v>-1.0589843389068434</c:v>
                </c:pt>
                <c:pt idx="321">
                  <c:v>-1.3241521708353765</c:v>
                </c:pt>
                <c:pt idx="322">
                  <c:v>-1.5901961470953503</c:v>
                </c:pt>
                <c:pt idx="323">
                  <c:v>-1.8570742719592526</c:v>
                </c:pt>
                <c:pt idx="324">
                  <c:v>-2.1247425280001151</c:v>
                </c:pt>
                <c:pt idx="325">
                  <c:v>-2.393155018587688</c:v>
                </c:pt>
                <c:pt idx="326">
                  <c:v>-2.6622641240491052</c:v>
                </c:pt>
                <c:pt idx="327">
                  <c:v>-2.9320206707269576</c:v>
                </c:pt>
                <c:pt idx="328">
                  <c:v>-3.2023741120406961</c:v>
                </c:pt>
                <c:pt idx="329">
                  <c:v>-3.4732727205357561</c:v>
                </c:pt>
                <c:pt idx="330">
                  <c:v>-3.7446637897908892</c:v>
                </c:pt>
                <c:pt idx="331">
                  <c:v>-4.0164938449555603</c:v>
                </c:pt>
                <c:pt idx="332">
                  <c:v>-4.2887088605939825</c:v>
                </c:pt>
                <c:pt idx="333">
                  <c:v>-4.561254484439722</c:v>
                </c:pt>
                <c:pt idx="334">
                  <c:v>-4.8340762655959981</c:v>
                </c:pt>
                <c:pt idx="335">
                  <c:v>-5.1071198856681814</c:v>
                </c:pt>
                <c:pt idx="336">
                  <c:v>-5.3803313912827733</c:v>
                </c:pt>
                <c:pt idx="337">
                  <c:v>-5.6536574264257009</c:v>
                </c:pt>
                <c:pt idx="338">
                  <c:v>-5.9270454630263245</c:v>
                </c:pt>
                <c:pt idx="339">
                  <c:v>-6.2004440282324937</c:v>
                </c:pt>
                <c:pt idx="340">
                  <c:v>-6.4738029268425032</c:v>
                </c:pt>
                <c:pt idx="341">
                  <c:v>-6.7470734574059943</c:v>
                </c:pt>
                <c:pt idx="342">
                  <c:v>-7.0202086205602576</c:v>
                </c:pt>
                <c:pt idx="343">
                  <c:v>-7.2931633182419677</c:v>
                </c:pt>
                <c:pt idx="344">
                  <c:v>-7.5658945424914386</c:v>
                </c:pt>
                <c:pt idx="345">
                  <c:v>-7.8383615526682835</c:v>
                </c:pt>
                <c:pt idx="346">
                  <c:v>-8.1105260399928341</c:v>
                </c:pt>
                <c:pt idx="347">
                  <c:v>-8.3823522784484865</c:v>
                </c:pt>
                <c:pt idx="348">
                  <c:v>-8.653807261195098</c:v>
                </c:pt>
                <c:pt idx="349">
                  <c:v>-8.9248608217703946</c:v>
                </c:pt>
                <c:pt idx="350">
                  <c:v>-9.1954857394844449</c:v>
                </c:pt>
                <c:pt idx="351">
                  <c:v>-9.4656578285471085</c:v>
                </c:pt>
                <c:pt idx="352">
                  <c:v>-9.7353560105935735</c:v>
                </c:pt>
                <c:pt idx="353">
                  <c:v>-10.00456237040793</c:v>
                </c:pt>
                <c:pt idx="354">
                  <c:v>-10.273262194770238</c:v>
                </c:pt>
                <c:pt idx="355">
                  <c:v>-10.541443994474267</c:v>
                </c:pt>
                <c:pt idx="356">
                  <c:v>-10.809099509679488</c:v>
                </c:pt>
                <c:pt idx="357">
                  <c:v>-11.076223698871679</c:v>
                </c:pt>
                <c:pt idx="358">
                  <c:v>-11.34281471180393</c:v>
                </c:pt>
                <c:pt idx="359">
                  <c:v>-11.608873846886311</c:v>
                </c:pt>
                <c:pt idx="360">
                  <c:v>-11.874405493568494</c:v>
                </c:pt>
                <c:pt idx="361">
                  <c:v>-12.139417060334658</c:v>
                </c:pt>
                <c:pt idx="362">
                  <c:v>-12.403918888991154</c:v>
                </c:pt>
                <c:pt idx="363">
                  <c:v>-12.667924155973466</c:v>
                </c:pt>
                <c:pt idx="364">
                  <c:v>-12.931448761442542</c:v>
                </c:pt>
                <c:pt idx="365">
                  <c:v>-13.194511206968082</c:v>
                </c:pt>
                <c:pt idx="366">
                  <c:v>-13.457132462617656</c:v>
                </c:pt>
                <c:pt idx="367">
                  <c:v>-13.719335824279572</c:v>
                </c:pt>
                <c:pt idx="368">
                  <c:v>-13.981146762054706</c:v>
                </c:pt>
                <c:pt idx="369">
                  <c:v>-14.242592760545993</c:v>
                </c:pt>
                <c:pt idx="370">
                  <c:v>-14.503703151865642</c:v>
                </c:pt>
                <c:pt idx="371">
                  <c:v>-14.764508942170853</c:v>
                </c:pt>
                <c:pt idx="372">
                  <c:v>-15.025042632515246</c:v>
                </c:pt>
                <c:pt idx="373">
                  <c:v>-15.285338034790616</c:v>
                </c:pt>
                <c:pt idx="374">
                  <c:v>-15.545430083511761</c:v>
                </c:pt>
                <c:pt idx="375">
                  <c:v>-15.805354644173823</c:v>
                </c:pt>
                <c:pt idx="376">
                  <c:v>-16.065148318901041</c:v>
                </c:pt>
                <c:pt idx="377">
                  <c:v>-16.324848250079931</c:v>
                </c:pt>
                <c:pt idx="378">
                  <c:v>-16.584491922664895</c:v>
                </c:pt>
                <c:pt idx="379">
                  <c:v>-16.84411696582573</c:v>
                </c:pt>
                <c:pt idx="380">
                  <c:v>-17.103760954608511</c:v>
                </c:pt>
                <c:pt idx="381">
                  <c:v>-17.363461212270202</c:v>
                </c:pt>
                <c:pt idx="382">
                  <c:v>-17.623254613955986</c:v>
                </c:pt>
                <c:pt idx="383">
                  <c:v>-17.883177392391008</c:v>
                </c:pt>
                <c:pt idx="384">
                  <c:v>-18.14326494626799</c:v>
                </c:pt>
                <c:pt idx="385">
                  <c:v>-18.403551652025953</c:v>
                </c:pt>
                <c:pt idx="386">
                  <c:v>-18.664070679730465</c:v>
                </c:pt>
                <c:pt idx="387">
                  <c:v>-18.924853813784594</c:v>
                </c:pt>
                <c:pt idx="388">
                  <c:v>-19.185931279218217</c:v>
                </c:pt>
                <c:pt idx="389">
                  <c:v>-19.447331574319922</c:v>
                </c:pt>
                <c:pt idx="390">
                  <c:v>-19.709081310398858</c:v>
                </c:pt>
                <c:pt idx="391">
                  <c:v>-19.971205059474183</c:v>
                </c:pt>
                <c:pt idx="392">
                  <c:v>-20.233725210703856</c:v>
                </c:pt>
                <c:pt idx="393">
                  <c:v>-20.496661836373985</c:v>
                </c:pt>
                <c:pt idx="394">
                  <c:v>-20.760032568267984</c:v>
                </c:pt>
                <c:pt idx="395">
                  <c:v>-21.02385248523165</c:v>
                </c:pt>
                <c:pt idx="396">
                  <c:v>-21.288134012735934</c:v>
                </c:pt>
                <c:pt idx="397">
                  <c:v>-21.552886835217301</c:v>
                </c:pt>
                <c:pt idx="398">
                  <c:v>-21.818117821941406</c:v>
                </c:pt>
                <c:pt idx="399">
                  <c:v>-22.083830967095295</c:v>
                </c:pt>
                <c:pt idx="400">
                  <c:v>-22.350027344758281</c:v>
                </c:pt>
                <c:pt idx="401">
                  <c:v>-22.616705079336306</c:v>
                </c:pt>
                <c:pt idx="402">
                  <c:v>-22.883859331971284</c:v>
                </c:pt>
                <c:pt idx="403">
                  <c:v>-23.151482303347699</c:v>
                </c:pt>
                <c:pt idx="404">
                  <c:v>-23.419563253223878</c:v>
                </c:pt>
                <c:pt idx="405">
                  <c:v>-23.688088536907891</c:v>
                </c:pt>
                <c:pt idx="406">
                  <c:v>-23.95704165878502</c:v>
                </c:pt>
                <c:pt idx="407">
                  <c:v>-24.226403342879316</c:v>
                </c:pt>
                <c:pt idx="408">
                  <c:v>-24.496151620306016</c:v>
                </c:pt>
                <c:pt idx="409">
                  <c:v>-24.766261933337844</c:v>
                </c:pt>
                <c:pt idx="410">
                  <c:v>-25.036707255673207</c:v>
                </c:pt>
                <c:pt idx="411">
                  <c:v>-25.307458228358783</c:v>
                </c:pt>
                <c:pt idx="412">
                  <c:v>-25.578483310684884</c:v>
                </c:pt>
                <c:pt idx="413">
                  <c:v>-25.849748945235646</c:v>
                </c:pt>
                <c:pt idx="414">
                  <c:v>-26.121219736155652</c:v>
                </c:pt>
                <c:pt idx="415">
                  <c:v>-26.392858639566846</c:v>
                </c:pt>
                <c:pt idx="416">
                  <c:v>-26.664627164963214</c:v>
                </c:pt>
                <c:pt idx="417">
                  <c:v>-26.936485586303746</c:v>
                </c:pt>
                <c:pt idx="418">
                  <c:v>-27.208393161439876</c:v>
                </c:pt>
                <c:pt idx="419">
                  <c:v>-27.480308358428722</c:v>
                </c:pt>
                <c:pt idx="420">
                  <c:v>-27.752189087230875</c:v>
                </c:pt>
                <c:pt idx="421">
                  <c:v>-28.023992935233508</c:v>
                </c:pt>
                <c:pt idx="422">
                  <c:v>-28.295677405017269</c:v>
                </c:pt>
                <c:pt idx="423">
                  <c:v>-28.567200152766908</c:v>
                </c:pt>
                <c:pt idx="424">
                  <c:v>-28.838519225727328</c:v>
                </c:pt>
                <c:pt idx="425">
                  <c:v>-29.109593297129589</c:v>
                </c:pt>
                <c:pt idx="426">
                  <c:v>-29.380381897044625</c:v>
                </c:pt>
                <c:pt idx="427">
                  <c:v>-29.650845637677349</c:v>
                </c:pt>
                <c:pt idx="428">
                  <c:v>-29.920946431677763</c:v>
                </c:pt>
                <c:pt idx="429">
                  <c:v>-30.190647702135045</c:v>
                </c:pt>
                <c:pt idx="430">
                  <c:v>-30.459914583006121</c:v>
                </c:pt>
                <c:pt idx="431">
                  <c:v>-30.72871410885022</c:v>
                </c:pt>
                <c:pt idx="432">
                  <c:v>-30.997015392843746</c:v>
                </c:pt>
                <c:pt idx="433">
                  <c:v>-31.264789792192801</c:v>
                </c:pt>
                <c:pt idx="434">
                  <c:v>-31.532011060177783</c:v>
                </c:pt>
                <c:pt idx="435">
                  <c:v>-31.798655484212563</c:v>
                </c:pt>
                <c:pt idx="436">
                  <c:v>-32.06470200943788</c:v>
                </c:pt>
                <c:pt idx="437">
                  <c:v>-32.330132347509078</c:v>
                </c:pt>
                <c:pt idx="438">
                  <c:v>-32.594931070379666</c:v>
                </c:pt>
                <c:pt idx="439">
                  <c:v>-32.859085689017625</c:v>
                </c:pt>
                <c:pt idx="440">
                  <c:v>-33.122586717125607</c:v>
                </c:pt>
                <c:pt idx="441">
                  <c:v>-33.385427720060065</c:v>
                </c:pt>
                <c:pt idx="442">
                  <c:v>-33.647605349260601</c:v>
                </c:pt>
                <c:pt idx="443">
                  <c:v>-33.909119362611818</c:v>
                </c:pt>
                <c:pt idx="444">
                  <c:v>-34.169972631253103</c:v>
                </c:pt>
                <c:pt idx="445">
                  <c:v>-34.430171133441604</c:v>
                </c:pt>
                <c:pt idx="446">
                  <c:v>-34.689723936141746</c:v>
                </c:pt>
                <c:pt idx="447">
                  <c:v>-34.948643165079936</c:v>
                </c:pt>
                <c:pt idx="448">
                  <c:v>-35.206943964048058</c:v>
                </c:pt>
                <c:pt idx="449">
                  <c:v>-35.464644444273489</c:v>
                </c:pt>
                <c:pt idx="450">
                  <c:v>-35.721765624694655</c:v>
                </c:pt>
                <c:pt idx="451">
                  <c:v>-35.97833136399322</c:v>
                </c:pt>
                <c:pt idx="452">
                  <c:v>-36.234368285228562</c:v>
                </c:pt>
                <c:pt idx="453">
                  <c:v>-36.489905693903403</c:v>
                </c:pt>
                <c:pt idx="454">
                  <c:v>-36.744975490274769</c:v>
                </c:pt>
                <c:pt idx="455">
                  <c:v>-36.999612076679718</c:v>
                </c:pt>
                <c:pt idx="456">
                  <c:v>-37.253852260614721</c:v>
                </c:pt>
                <c:pt idx="457">
                  <c:v>-37.507735154250661</c:v>
                </c:pt>
                <c:pt idx="458">
                  <c:v>-37.761302071016644</c:v>
                </c:pt>
                <c:pt idx="459">
                  <c:v>-38.014596419828635</c:v>
                </c:pt>
                <c:pt idx="460">
                  <c:v>-38.267663597471682</c:v>
                </c:pt>
                <c:pt idx="461">
                  <c:v>-38.520550879587226</c:v>
                </c:pt>
                <c:pt idx="462">
                  <c:v>-38.773307310649415</c:v>
                </c:pt>
                <c:pt idx="463">
                  <c:v>-39.025983593251141</c:v>
                </c:pt>
                <c:pt idx="464">
                  <c:v>-39.278631976957861</c:v>
                </c:pt>
                <c:pt idx="465">
                  <c:v>-39.531306146926468</c:v>
                </c:pt>
                <c:pt idx="466">
                  <c:v>-39.784061112431075</c:v>
                </c:pt>
                <c:pt idx="467">
                  <c:v>-40.036953095380767</c:v>
                </c:pt>
                <c:pt idx="468">
                  <c:v>-40.290039418870521</c:v>
                </c:pt>
                <c:pt idx="469">
                  <c:v>-40.543378395759532</c:v>
                </c:pt>
                <c:pt idx="470">
                  <c:v>-40.79702921723451</c:v>
                </c:pt>
                <c:pt idx="471">
                  <c:v>-41.051051841288348</c:v>
                </c:pt>
                <c:pt idx="472">
                  <c:v>-41.30550688101259</c:v>
                </c:pt>
                <c:pt idx="473">
                  <c:v>-41.560455492591963</c:v>
                </c:pt>
                <c:pt idx="474">
                  <c:v>-41.815959262874713</c:v>
                </c:pt>
                <c:pt idx="475">
                  <c:v>-42.072080096389442</c:v>
                </c:pt>
                <c:pt idx="476">
                  <c:v>-42.328880101682145</c:v>
                </c:pt>
                <c:pt idx="477">
                  <c:v>-42.586421476860252</c:v>
                </c:pt>
                <c:pt idx="478">
                  <c:v>-42.844766394243727</c:v>
                </c:pt>
                <c:pt idx="479">
                  <c:v>-43.103976884049082</c:v>
                </c:pt>
                <c:pt idx="480">
                  <c:v>-43.364114717062336</c:v>
                </c:pt>
                <c:pt idx="481">
                  <c:v>-43.625241286288841</c:v>
                </c:pt>
                <c:pt idx="482">
                  <c:v>-43.887417487612737</c:v>
                </c:pt>
                <c:pt idx="483">
                  <c:v>-44.150703599537891</c:v>
                </c:pt>
                <c:pt idx="484">
                  <c:v>-44.415159162135573</c:v>
                </c:pt>
                <c:pt idx="485">
                  <c:v>-44.680842855370521</c:v>
                </c:pt>
                <c:pt idx="486">
                  <c:v>-44.94781237703296</c:v>
                </c:pt>
                <c:pt idx="487">
                  <c:v>-45.216124320557888</c:v>
                </c:pt>
                <c:pt idx="488">
                  <c:v>-45.485834053063513</c:v>
                </c:pt>
                <c:pt idx="489">
                  <c:v>-45.756995594000571</c:v>
                </c:pt>
                <c:pt idx="490">
                  <c:v>-46.029661494847218</c:v>
                </c:pt>
                <c:pt idx="491">
                  <c:v>-46.303882720339487</c:v>
                </c:pt>
                <c:pt idx="492">
                  <c:v>-46.579708531766059</c:v>
                </c:pt>
                <c:pt idx="493">
                  <c:v>-46.857186372897324</c:v>
                </c:pt>
                <c:pt idx="494">
                  <c:v>-47.136361759150766</c:v>
                </c:pt>
                <c:pt idx="495">
                  <c:v>-47.417278170620705</c:v>
                </c:pt>
                <c:pt idx="496">
                  <c:v>-47.699976949616754</c:v>
                </c:pt>
                <c:pt idx="497">
                  <c:v>-47.984497203366097</c:v>
                </c:pt>
                <c:pt idx="498">
                  <c:v>-48.270875712535222</c:v>
                </c:pt>
                <c:pt idx="499">
                  <c:v>-48.559146846215043</c:v>
                </c:pt>
                <c:pt idx="500">
                  <c:v>-48.849342483996793</c:v>
                </c:pt>
                <c:pt idx="501">
                  <c:v>-49.141491945737343</c:v>
                </c:pt>
                <c:pt idx="502">
                  <c:v>-49.435621929571063</c:v>
                </c:pt>
                <c:pt idx="503">
                  <c:v>-49.731756458682604</c:v>
                </c:pt>
                <c:pt idx="504">
                  <c:v>-50.029916837295573</c:v>
                </c:pt>
                <c:pt idx="505">
                  <c:v>-50.330121616266709</c:v>
                </c:pt>
                <c:pt idx="506">
                  <c:v>-50.632386568609093</c:v>
                </c:pt>
                <c:pt idx="507">
                  <c:v>-50.936724675183676</c:v>
                </c:pt>
                <c:pt idx="508">
                  <c:v>-51.243146120722642</c:v>
                </c:pt>
                <c:pt idx="509">
                  <c:v>-51.551658300257266</c:v>
                </c:pt>
                <c:pt idx="510">
                  <c:v>-51.862265835938565</c:v>
                </c:pt>
                <c:pt idx="511">
                  <c:v>-52.174970604147688</c:v>
                </c:pt>
                <c:pt idx="512">
                  <c:v>-52.489771772709915</c:v>
                </c:pt>
                <c:pt idx="513">
                  <c:v>-52.806665847931612</c:v>
                </c:pt>
                <c:pt idx="514">
                  <c:v>-53.125646731106933</c:v>
                </c:pt>
                <c:pt idx="515">
                  <c:v>-53.446705784056789</c:v>
                </c:pt>
                <c:pt idx="516">
                  <c:v>-53.76983190319433</c:v>
                </c:pt>
                <c:pt idx="517">
                  <c:v>-54.095011601542716</c:v>
                </c:pt>
                <c:pt idx="518">
                  <c:v>-54.42222909808023</c:v>
                </c:pt>
                <c:pt idx="519">
                  <c:v>-54.751466413731606</c:v>
                </c:pt>
                <c:pt idx="520">
                  <c:v>-55.082703473292128</c:v>
                </c:pt>
                <c:pt idx="521">
                  <c:v>-55.415918212534471</c:v>
                </c:pt>
                <c:pt idx="522">
                  <c:v>-55.751086689732503</c:v>
                </c:pt>
                <c:pt idx="523">
                  <c:v>-56.088183200823131</c:v>
                </c:pt>
                <c:pt idx="524">
                  <c:v>-56.427180397422809</c:v>
                </c:pt>
                <c:pt idx="525">
                  <c:v>-56.768049406925137</c:v>
                </c:pt>
                <c:pt idx="526">
                  <c:v>-57.110759953919718</c:v>
                </c:pt>
                <c:pt idx="527">
                  <c:v>-57.455280482193004</c:v>
                </c:pt>
                <c:pt idx="528">
                  <c:v>-57.801578276603919</c:v>
                </c:pt>
                <c:pt idx="529">
                  <c:v>-58.149619584161137</c:v>
                </c:pt>
                <c:pt idx="530">
                  <c:v>-58.49936973366713</c:v>
                </c:pt>
                <c:pt idx="531">
                  <c:v>-58.850793253344882</c:v>
                </c:pt>
                <c:pt idx="532">
                  <c:v>-59.203853985903017</c:v>
                </c:pt>
                <c:pt idx="533">
                  <c:v>-59.558515200556172</c:v>
                </c:pt>
                <c:pt idx="534">
                  <c:v>-59.914739701558346</c:v>
                </c:pt>
                <c:pt idx="535">
                  <c:v>-60.272489932870116</c:v>
                </c:pt>
                <c:pt idx="536">
                  <c:v>-60.63172807862788</c:v>
                </c:pt>
                <c:pt idx="537">
                  <c:v>-60.992416159140504</c:v>
                </c:pt>
                <c:pt idx="538">
                  <c:v>-61.354516122183881</c:v>
                </c:pt>
                <c:pt idx="539">
                  <c:v>-61.717989929421115</c:v>
                </c:pt>
                <c:pt idx="540">
                  <c:v>-62.082799637818937</c:v>
                </c:pt>
                <c:pt idx="541">
                  <c:v>-62.448907475976021</c:v>
                </c:pt>
              </c:numCache>
            </c:numRef>
          </c:yVal>
          <c:smooth val="1"/>
          <c:extLst>
            <c:ext xmlns:c16="http://schemas.microsoft.com/office/drawing/2014/chart" uri="{C3380CC4-5D6E-409C-BE32-E72D297353CC}">
              <c16:uniqueId val="{00000000-F188-4D39-B62C-FFCB026FFDB3}"/>
            </c:ext>
          </c:extLst>
        </c:ser>
        <c:dLbls>
          <c:showLegendKey val="0"/>
          <c:showVal val="0"/>
          <c:showCatName val="0"/>
          <c:showSerName val="0"/>
          <c:showPercent val="0"/>
          <c:showBubbleSize val="0"/>
        </c:dLbls>
        <c:axId val="160959104"/>
        <c:axId val="160985856"/>
      </c:scatterChart>
      <c:scatterChart>
        <c:scatterStyle val="smoothMarker"/>
        <c:varyColors val="0"/>
        <c:ser>
          <c:idx val="1"/>
          <c:order val="1"/>
          <c:tx>
            <c:v>Phase (deg)</c:v>
          </c:tx>
          <c:spPr>
            <a:ln w="38100">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Loop_Modeling!$AU$19:$AU$560</c:f>
              <c:numCache>
                <c:formatCode>General</c:formatCode>
                <c:ptCount val="542"/>
                <c:pt idx="0">
                  <c:v>69.737668065779829</c:v>
                </c:pt>
                <c:pt idx="1">
                  <c:v>69.344691605276395</c:v>
                </c:pt>
                <c:pt idx="2">
                  <c:v>68.947279538516952</c:v>
                </c:pt>
                <c:pt idx="3">
                  <c:v>68.545572839893055</c:v>
                </c:pt>
                <c:pt idx="4">
                  <c:v>68.139724770983619</c:v>
                </c:pt>
                <c:pt idx="5">
                  <c:v>67.729901156517101</c:v>
                </c:pt>
                <c:pt idx="6">
                  <c:v>67.316280630613917</c:v>
                </c:pt>
                <c:pt idx="7">
                  <c:v>66.899054850027468</c:v>
                </c:pt>
                <c:pt idx="8">
                  <c:v>66.478428671109484</c:v>
                </c:pt>
                <c:pt idx="9">
                  <c:v>66.054620287280812</c:v>
                </c:pt>
                <c:pt idx="10">
                  <c:v>65.627861323869311</c:v>
                </c:pt>
                <c:pt idx="11">
                  <c:v>65.19839688730859</c:v>
                </c:pt>
                <c:pt idx="12">
                  <c:v>64.766485565854538</c:v>
                </c:pt>
                <c:pt idx="13">
                  <c:v>64.332399379191742</c:v>
                </c:pt>
                <c:pt idx="14">
                  <c:v>63.896423674555713</c:v>
                </c:pt>
                <c:pt idx="15">
                  <c:v>63.458856967290636</c:v>
                </c:pt>
                <c:pt idx="16">
                  <c:v>63.02001072410453</c:v>
                </c:pt>
                <c:pt idx="17">
                  <c:v>62.5802090876591</c:v>
                </c:pt>
                <c:pt idx="18">
                  <c:v>62.139788541546075</c:v>
                </c:pt>
                <c:pt idx="19">
                  <c:v>61.699097515149525</c:v>
                </c:pt>
                <c:pt idx="20">
                  <c:v>61.258495928366266</c:v>
                </c:pt>
                <c:pt idx="21">
                  <c:v>60.8183546766532</c:v>
                </c:pt>
                <c:pt idx="22">
                  <c:v>60.37905505738479</c:v>
                </c:pt>
                <c:pt idx="23">
                  <c:v>59.940988139019744</c:v>
                </c:pt>
                <c:pt idx="24">
                  <c:v>59.504554075102867</c:v>
                </c:pt>
                <c:pt idx="25">
                  <c:v>59.07016136563967</c:v>
                </c:pt>
                <c:pt idx="26">
                  <c:v>58.63822606887944</c:v>
                </c:pt>
                <c:pt idx="27">
                  <c:v>58.209170967022125</c:v>
                </c:pt>
                <c:pt idx="28">
                  <c:v>57.783424689804207</c:v>
                </c:pt>
                <c:pt idx="29">
                  <c:v>57.361420800324055</c:v>
                </c:pt>
                <c:pt idx="30">
                  <c:v>56.943596847824196</c:v>
                </c:pt>
                <c:pt idx="31">
                  <c:v>56.530393392451494</c:v>
                </c:pt>
                <c:pt idx="32">
                  <c:v>56.122253007262479</c:v>
                </c:pt>
                <c:pt idx="33">
                  <c:v>55.719619262913938</c:v>
                </c:pt>
                <c:pt idx="34">
                  <c:v>55.322935700600645</c:v>
                </c:pt>
                <c:pt idx="35">
                  <c:v>54.932644798847612</c:v>
                </c:pt>
                <c:pt idx="36">
                  <c:v>54.549186939720819</c:v>
                </c:pt>
                <c:pt idx="37">
                  <c:v>54.172999379949459</c:v>
                </c:pt>
                <c:pt idx="38">
                  <c:v>53.804515232277275</c:v>
                </c:pt>
                <c:pt idx="39">
                  <c:v>53.444162462129235</c:v>
                </c:pt>
                <c:pt idx="40">
                  <c:v>53.092362904410408</c:v>
                </c:pt>
                <c:pt idx="41">
                  <c:v>52.749531304904046</c:v>
                </c:pt>
                <c:pt idx="42">
                  <c:v>52.416074390356535</c:v>
                </c:pt>
                <c:pt idx="43">
                  <c:v>52.092389970910709</c:v>
                </c:pt>
                <c:pt idx="44">
                  <c:v>51.778866078102148</c:v>
                </c:pt>
                <c:pt idx="45">
                  <c:v>51.475880141145346</c:v>
                </c:pt>
                <c:pt idx="46">
                  <c:v>51.183798203765214</c:v>
                </c:pt>
                <c:pt idx="47">
                  <c:v>50.902974183317518</c:v>
                </c:pt>
                <c:pt idx="48">
                  <c:v>50.633749173470321</c:v>
                </c:pt>
                <c:pt idx="49">
                  <c:v>50.376450791230383</c:v>
                </c:pt>
                <c:pt idx="50">
                  <c:v>50.131392568653958</c:v>
                </c:pt>
                <c:pt idx="51">
                  <c:v>49.898873389139247</c:v>
                </c:pt>
                <c:pt idx="52">
                  <c:v>49.679176967822329</c:v>
                </c:pt>
                <c:pt idx="53">
                  <c:v>49.472571375228668</c:v>
                </c:pt>
                <c:pt idx="54">
                  <c:v>49.279308603025143</c:v>
                </c:pt>
                <c:pt idx="55">
                  <c:v>49.099624170462519</c:v>
                </c:pt>
                <c:pt idx="56">
                  <c:v>48.933736769870272</c:v>
                </c:pt>
                <c:pt idx="57">
                  <c:v>48.781847949414399</c:v>
                </c:pt>
                <c:pt idx="58">
                  <c:v>48.644141831213418</c:v>
                </c:pt>
                <c:pt idx="59">
                  <c:v>48.520784862847215</c:v>
                </c:pt>
                <c:pt idx="60">
                  <c:v>48.411925600290452</c:v>
                </c:pt>
                <c:pt idx="61">
                  <c:v>48.317694520332758</c:v>
                </c:pt>
                <c:pt idx="62">
                  <c:v>48.238203860642578</c:v>
                </c:pt>
                <c:pt idx="63">
                  <c:v>48.173547485748294</c:v>
                </c:pt>
                <c:pt idx="64">
                  <c:v>48.123800777388873</c:v>
                </c:pt>
                <c:pt idx="65">
                  <c:v>48.089020547866724</c:v>
                </c:pt>
                <c:pt idx="66">
                  <c:v>48.069244975286082</c:v>
                </c:pt>
                <c:pt idx="67">
                  <c:v>48.064493559790094</c:v>
                </c:pt>
                <c:pt idx="68">
                  <c:v>48.07476710019273</c:v>
                </c:pt>
                <c:pt idx="69">
                  <c:v>48.100047690682857</c:v>
                </c:pt>
                <c:pt idx="70">
                  <c:v>48.140298737558773</c:v>
                </c:pt>
                <c:pt idx="71">
                  <c:v>48.195464996251083</c:v>
                </c:pt>
                <c:pt idx="72">
                  <c:v>48.26547262916673</c:v>
                </c:pt>
                <c:pt idx="73">
                  <c:v>48.350229285169036</c:v>
                </c:pt>
                <c:pt idx="74">
                  <c:v>48.449624201757864</c:v>
                </c:pt>
                <c:pt idx="75">
                  <c:v>48.563528331253565</c:v>
                </c:pt>
                <c:pt idx="76">
                  <c:v>48.691794492492605</c:v>
                </c:pt>
                <c:pt idx="77">
                  <c:v>48.834257549714522</c:v>
                </c:pt>
                <c:pt idx="78">
                  <c:v>48.990734620463378</c:v>
                </c:pt>
                <c:pt idx="79">
                  <c:v>49.1610253144163</c:v>
                </c:pt>
                <c:pt idx="80">
                  <c:v>49.34491200510675</c:v>
                </c:pt>
                <c:pt idx="81">
                  <c:v>49.542160136509224</c:v>
                </c:pt>
                <c:pt idx="82">
                  <c:v>49.752518566410551</c:v>
                </c:pt>
                <c:pt idx="83">
                  <c:v>49.975719948393383</c:v>
                </c:pt>
                <c:pt idx="84">
                  <c:v>50.21148115410292</c:v>
                </c:pt>
                <c:pt idx="85">
                  <c:v>50.459503737276933</c:v>
                </c:pt>
                <c:pt idx="86">
                  <c:v>50.719474440755384</c:v>
                </c:pt>
                <c:pt idx="87">
                  <c:v>50.991065747398707</c:v>
                </c:pt>
                <c:pt idx="88">
                  <c:v>51.273936475488398</c:v>
                </c:pt>
                <c:pt idx="89">
                  <c:v>51.567732418808696</c:v>
                </c:pt>
                <c:pt idx="90">
                  <c:v>51.872087031180904</c:v>
                </c:pt>
                <c:pt idx="91">
                  <c:v>52.186622154776913</c:v>
                </c:pt>
                <c:pt idx="92">
                  <c:v>52.510948791067406</c:v>
                </c:pt>
                <c:pt idx="93">
                  <c:v>52.844667912770362</c:v>
                </c:pt>
                <c:pt idx="94">
                  <c:v>53.187371314676973</c:v>
                </c:pt>
                <c:pt idx="95">
                  <c:v>53.538642500740401</c:v>
                </c:pt>
                <c:pt idx="96">
                  <c:v>53.898057604333594</c:v>
                </c:pt>
                <c:pt idx="97">
                  <c:v>54.265186338117843</c:v>
                </c:pt>
                <c:pt idx="98">
                  <c:v>54.639592969543664</c:v>
                </c:pt>
                <c:pt idx="99">
                  <c:v>55.020837317596644</c:v>
                </c:pt>
                <c:pt idx="100">
                  <c:v>55.408475766061933</c:v>
                </c:pt>
                <c:pt idx="101">
                  <c:v>55.802062288278329</c:v>
                </c:pt>
                <c:pt idx="102">
                  <c:v>56.201149478106586</c:v>
                </c:pt>
                <c:pt idx="103">
                  <c:v>56.605289581676935</c:v>
                </c:pt>
                <c:pt idx="104">
                  <c:v>57.014035524333231</c:v>
                </c:pt>
                <c:pt idx="105">
                  <c:v>57.426941927195934</c:v>
                </c:pt>
                <c:pt idx="106">
                  <c:v>57.84356610774617</c:v>
                </c:pt>
                <c:pt idx="107">
                  <c:v>58.263469058958798</c:v>
                </c:pt>
                <c:pt idx="108">
                  <c:v>58.686216401669327</c:v>
                </c:pt>
                <c:pt idx="109">
                  <c:v>59.111379305079076</c:v>
                </c:pt>
                <c:pt idx="110">
                  <c:v>59.538535370606255</c:v>
                </c:pt>
                <c:pt idx="111">
                  <c:v>59.967269474622228</c:v>
                </c:pt>
                <c:pt idx="112">
                  <c:v>60.397174566014328</c:v>
                </c:pt>
                <c:pt idx="113">
                  <c:v>60.827852414948474</c:v>
                </c:pt>
                <c:pt idx="114">
                  <c:v>61.258914309663638</c:v>
                </c:pt>
                <c:pt idx="115">
                  <c:v>61.689981698646882</c:v>
                </c:pt>
                <c:pt idx="116">
                  <c:v>62.120686776020072</c:v>
                </c:pt>
                <c:pt idx="117">
                  <c:v>62.550673008519652</c:v>
                </c:pt>
                <c:pt idx="118">
                  <c:v>62.979595602941913</c:v>
                </c:pt>
                <c:pt idx="119">
                  <c:v>63.407121913474604</c:v>
                </c:pt>
                <c:pt idx="120">
                  <c:v>63.832931788801488</c:v>
                </c:pt>
                <c:pt idx="121">
                  <c:v>64.256717859379535</c:v>
                </c:pt>
                <c:pt idx="122">
                  <c:v>64.678185765715938</c:v>
                </c:pt>
                <c:pt idx="123">
                  <c:v>65.097054328910986</c:v>
                </c:pt>
                <c:pt idx="124">
                  <c:v>65.513055665115232</c:v>
                </c:pt>
                <c:pt idx="125">
                  <c:v>65.925935245894095</c:v>
                </c:pt>
                <c:pt idx="126">
                  <c:v>66.335451906806526</c:v>
                </c:pt>
                <c:pt idx="127">
                  <c:v>66.741377806763609</c:v>
                </c:pt>
                <c:pt idx="128">
                  <c:v>67.143498340959212</c:v>
                </c:pt>
                <c:pt idx="129">
                  <c:v>67.541612010343002</c:v>
                </c:pt>
                <c:pt idx="130">
                  <c:v>67.935530250738623</c:v>
                </c:pt>
                <c:pt idx="131">
                  <c:v>68.325077224812958</c:v>
                </c:pt>
                <c:pt idx="132">
                  <c:v>68.710089580155042</c:v>
                </c:pt>
                <c:pt idx="133">
                  <c:v>69.090416176749443</c:v>
                </c:pt>
                <c:pt idx="134">
                  <c:v>69.465917787111891</c:v>
                </c:pt>
                <c:pt idx="135">
                  <c:v>69.836466772319937</c:v>
                </c:pt>
                <c:pt idx="136">
                  <c:v>70.201946737097245</c:v>
                </c:pt>
                <c:pt idx="137">
                  <c:v>70.562252167020787</c:v>
                </c:pt>
                <c:pt idx="138">
                  <c:v>70.917288050805709</c:v>
                </c:pt>
                <c:pt idx="139">
                  <c:v>71.266969490496962</c:v>
                </c:pt>
                <c:pt idx="140">
                  <c:v>71.611221302244061</c:v>
                </c:pt>
                <c:pt idx="141">
                  <c:v>71.949977610193287</c:v>
                </c:pt>
                <c:pt idx="142">
                  <c:v>72.283181435855198</c:v>
                </c:pt>
                <c:pt idx="143">
                  <c:v>72.610784285149805</c:v>
                </c:pt>
                <c:pt idx="144">
                  <c:v>72.932745735151812</c:v>
                </c:pt>
                <c:pt idx="145">
                  <c:v>73.24903302239052</c:v>
                </c:pt>
                <c:pt idx="146">
                  <c:v>73.559620634386675</c:v>
                </c:pt>
                <c:pt idx="147">
                  <c:v>73.864489905944424</c:v>
                </c:pt>
                <c:pt idx="148">
                  <c:v>74.163628621545129</c:v>
                </c:pt>
                <c:pt idx="149">
                  <c:v>74.457030625040318</c:v>
                </c:pt>
                <c:pt idx="150">
                  <c:v>74.744695437686346</c:v>
                </c:pt>
                <c:pt idx="151">
                  <c:v>75.026627885414356</c:v>
                </c:pt>
                <c:pt idx="152">
                  <c:v>75.302837736101651</c:v>
                </c:pt>
                <c:pt idx="153">
                  <c:v>75.57333934747615</c:v>
                </c:pt>
                <c:pt idx="154">
                  <c:v>75.838151326166638</c:v>
                </c:pt>
                <c:pt idx="155">
                  <c:v>76.097296198305585</c:v>
                </c:pt>
                <c:pt idx="156">
                  <c:v>76.350800091982606</c:v>
                </c:pt>
                <c:pt idx="157">
                  <c:v>76.598692431759972</c:v>
                </c:pt>
                <c:pt idx="158">
                  <c:v>76.841005645372604</c:v>
                </c:pt>
                <c:pt idx="159">
                  <c:v>77.077774882657977</c:v>
                </c:pt>
                <c:pt idx="160">
                  <c:v>77.309037746699687</c:v>
                </c:pt>
                <c:pt idx="161">
                  <c:v>77.534834037096473</c:v>
                </c:pt>
                <c:pt idx="162">
                  <c:v>77.755205505224311</c:v>
                </c:pt>
                <c:pt idx="163">
                  <c:v>77.97019562130869</c:v>
                </c:pt>
                <c:pt idx="164">
                  <c:v>78.179849353081693</c:v>
                </c:pt>
                <c:pt idx="165">
                  <c:v>78.38421295576677</c:v>
                </c:pt>
                <c:pt idx="166">
                  <c:v>78.58333377310295</c:v>
                </c:pt>
                <c:pt idx="167">
                  <c:v>78.777260049097876</c:v>
                </c:pt>
                <c:pt idx="168">
                  <c:v>78.966040750177612</c:v>
                </c:pt>
                <c:pt idx="169">
                  <c:v>79.14972539738541</c:v>
                </c:pt>
                <c:pt idx="170">
                  <c:v>79.328363908273772</c:v>
                </c:pt>
                <c:pt idx="171">
                  <c:v>79.502006448120255</c:v>
                </c:pt>
                <c:pt idx="172">
                  <c:v>79.670703290098771</c:v>
                </c:pt>
                <c:pt idx="173">
                  <c:v>79.834504684028829</c:v>
                </c:pt>
                <c:pt idx="174">
                  <c:v>79.993460733331901</c:v>
                </c:pt>
                <c:pt idx="175">
                  <c:v>80.14762127982172</c:v>
                </c:pt>
                <c:pt idx="176">
                  <c:v>80.29703579596125</c:v>
                </c:pt>
                <c:pt idx="177">
                  <c:v>80.441753284223253</c:v>
                </c:pt>
                <c:pt idx="178">
                  <c:v>80.581822183201169</c:v>
                </c:pt>
                <c:pt idx="179">
                  <c:v>80.717290280121915</c:v>
                </c:pt>
                <c:pt idx="180">
                  <c:v>80.848204629422256</c:v>
                </c:pt>
                <c:pt idx="181">
                  <c:v>80.974611477062496</c:v>
                </c:pt>
                <c:pt idx="182">
                  <c:v>81.096556190257829</c:v>
                </c:pt>
                <c:pt idx="183">
                  <c:v>81.214083192322747</c:v>
                </c:pt>
                <c:pt idx="184">
                  <c:v>81.327235902330813</c:v>
                </c:pt>
                <c:pt idx="185">
                  <c:v>81.436056679309985</c:v>
                </c:pt>
                <c:pt idx="186">
                  <c:v>81.540586770696933</c:v>
                </c:pt>
                <c:pt idx="187">
                  <c:v>81.640866264795676</c:v>
                </c:pt>
                <c:pt idx="188">
                  <c:v>81.736934046988438</c:v>
                </c:pt>
                <c:pt idx="189">
                  <c:v>81.828827759464971</c:v>
                </c:pt>
                <c:pt idx="190">
                  <c:v>81.916583764246127</c:v>
                </c:pt>
                <c:pt idx="191">
                  <c:v>82.000237109288008</c:v>
                </c:pt>
                <c:pt idx="192">
                  <c:v>82.079821497466597</c:v>
                </c:pt>
                <c:pt idx="193">
                  <c:v>82.155369258253245</c:v>
                </c:pt>
                <c:pt idx="194">
                  <c:v>82.226911321901113</c:v>
                </c:pt>
                <c:pt idx="195">
                  <c:v>82.294477195976583</c:v>
                </c:pt>
                <c:pt idx="196">
                  <c:v>82.358094944076782</c:v>
                </c:pt>
                <c:pt idx="197">
                  <c:v>82.417791166587065</c:v>
                </c:pt>
                <c:pt idx="198">
                  <c:v>82.473590983341509</c:v>
                </c:pt>
                <c:pt idx="199">
                  <c:v>82.52551801805923</c:v>
                </c:pt>
                <c:pt idx="200">
                  <c:v>82.573594384439176</c:v>
                </c:pt>
                <c:pt idx="201">
                  <c:v>82.617840673805034</c:v>
                </c:pt>
                <c:pt idx="202">
                  <c:v>82.658275944201122</c:v>
                </c:pt>
                <c:pt idx="203">
                  <c:v>82.694917710849296</c:v>
                </c:pt>
                <c:pt idx="204">
                  <c:v>82.727781937884558</c:v>
                </c:pt>
                <c:pt idx="205">
                  <c:v>82.756883031296525</c:v>
                </c:pt>
                <c:pt idx="206">
                  <c:v>82.782233833011958</c:v>
                </c:pt>
                <c:pt idx="207">
                  <c:v>82.803845616060002</c:v>
                </c:pt>
                <c:pt idx="208">
                  <c:v>82.821728080772743</c:v>
                </c:pt>
                <c:pt idx="209">
                  <c:v>82.835889351978238</c:v>
                </c:pt>
                <c:pt idx="210">
                  <c:v>82.846335977153359</c:v>
                </c:pt>
                <c:pt idx="211">
                  <c:v>82.853072925508414</c:v>
                </c:pt>
                <c:pt idx="212">
                  <c:v>82.856103587987079</c:v>
                </c:pt>
                <c:pt idx="213">
                  <c:v>82.855429778168428</c:v>
                </c:pt>
                <c:pt idx="214">
                  <c:v>82.851051734066985</c:v>
                </c:pt>
                <c:pt idx="215">
                  <c:v>82.842968120834314</c:v>
                </c:pt>
                <c:pt idx="216">
                  <c:v>82.831176034372788</c:v>
                </c:pt>
                <c:pt idx="217">
                  <c:v>82.815671005878812</c:v>
                </c:pt>
                <c:pt idx="218">
                  <c:v>82.796447007339737</c:v>
                </c:pt>
                <c:pt idx="219">
                  <c:v>82.773496458018556</c:v>
                </c:pt>
                <c:pt idx="220">
                  <c:v>82.746810231964119</c:v>
                </c:pt>
                <c:pt idx="221">
                  <c:v>82.71637766659542</c:v>
                </c:pt>
                <c:pt idx="222">
                  <c:v>82.682186572414764</c:v>
                </c:pt>
                <c:pt idx="223">
                  <c:v>82.644223243910375</c:v>
                </c:pt>
                <c:pt idx="224">
                  <c:v>82.602472471721967</c:v>
                </c:pt>
                <c:pt idx="225">
                  <c:v>82.556917556144342</c:v>
                </c:pt>
                <c:pt idx="226">
                  <c:v>82.507540322057011</c:v>
                </c:pt>
                <c:pt idx="227">
                  <c:v>82.45432113537386</c:v>
                </c:pt>
                <c:pt idx="228">
                  <c:v>82.397238921115644</c:v>
                </c:pt>
                <c:pt idx="229">
                  <c:v>82.336271183216169</c:v>
                </c:pt>
                <c:pt idx="230">
                  <c:v>82.271394026183117</c:v>
                </c:pt>
                <c:pt idx="231">
                  <c:v>82.202582178741906</c:v>
                </c:pt>
                <c:pt idx="232">
                  <c:v>82.129809019599222</c:v>
                </c:pt>
                <c:pt idx="233">
                  <c:v>82.053046605474677</c:v>
                </c:pt>
                <c:pt idx="234">
                  <c:v>81.972265701555784</c:v>
                </c:pt>
                <c:pt idx="235">
                  <c:v>81.887435814540794</c:v>
                </c:pt>
                <c:pt idx="236">
                  <c:v>81.798525228445968</c:v>
                </c:pt>
                <c:pt idx="237">
                  <c:v>81.70550104335824</c:v>
                </c:pt>
                <c:pt idx="238">
                  <c:v>81.608329217330535</c:v>
                </c:pt>
                <c:pt idx="239">
                  <c:v>81.50697461161711</c:v>
                </c:pt>
                <c:pt idx="240">
                  <c:v>81.401401039466904</c:v>
                </c:pt>
                <c:pt idx="241">
                  <c:v>81.291571318689662</c:v>
                </c:pt>
                <c:pt idx="242">
                  <c:v>81.177447328228752</c:v>
                </c:pt>
                <c:pt idx="243">
                  <c:v>81.05899006897576</c:v>
                </c:pt>
                <c:pt idx="244">
                  <c:v>80.936159729074447</c:v>
                </c:pt>
                <c:pt idx="245">
                  <c:v>80.80891575396582</c:v>
                </c:pt>
                <c:pt idx="246">
                  <c:v>80.677216921435189</c:v>
                </c:pt>
                <c:pt idx="247">
                  <c:v>80.541021421926473</c:v>
                </c:pt>
                <c:pt idx="248">
                  <c:v>80.40028694439313</c:v>
                </c:pt>
                <c:pt idx="249">
                  <c:v>80.254970767962405</c:v>
                </c:pt>
                <c:pt idx="250">
                  <c:v>80.105029859686823</c:v>
                </c:pt>
                <c:pt idx="251">
                  <c:v>79.950420978660432</c:v>
                </c:pt>
                <c:pt idx="252">
                  <c:v>79.791100786778415</c:v>
                </c:pt>
                <c:pt idx="253">
                  <c:v>79.627025966408624</c:v>
                </c:pt>
                <c:pt idx="254">
                  <c:v>79.458153345246345</c:v>
                </c:pt>
                <c:pt idx="255">
                  <c:v>79.284440028608913</c:v>
                </c:pt>
                <c:pt idx="256">
                  <c:v>79.105843539420292</c:v>
                </c:pt>
                <c:pt idx="257">
                  <c:v>78.922321966117082</c:v>
                </c:pt>
                <c:pt idx="258">
                  <c:v>78.733834118693849</c:v>
                </c:pt>
                <c:pt idx="259">
                  <c:v>78.540339693080327</c:v>
                </c:pt>
                <c:pt idx="260">
                  <c:v>78.341799444017269</c:v>
                </c:pt>
                <c:pt idx="261">
                  <c:v>78.138175366568674</c:v>
                </c:pt>
                <c:pt idx="262">
                  <c:v>77.929430886367328</c:v>
                </c:pt>
                <c:pt idx="263">
                  <c:v>77.715531058653582</c:v>
                </c:pt>
                <c:pt idx="264">
                  <c:v>77.49644277611425</c:v>
                </c:pt>
                <c:pt idx="265">
                  <c:v>77.272134985478559</c:v>
                </c:pt>
                <c:pt idx="266">
                  <c:v>77.042578912760675</c:v>
                </c:pt>
                <c:pt idx="267">
                  <c:v>76.807748296978048</c:v>
                </c:pt>
                <c:pt idx="268">
                  <c:v>76.567619632087158</c:v>
                </c:pt>
                <c:pt idx="269">
                  <c:v>76.32217241680604</c:v>
                </c:pt>
                <c:pt idx="270">
                  <c:v>76.071389411889371</c:v>
                </c:pt>
                <c:pt idx="271">
                  <c:v>75.815256904329573</c:v>
                </c:pt>
                <c:pt idx="272">
                  <c:v>75.553764977843201</c:v>
                </c:pt>
                <c:pt idx="273">
                  <c:v>75.286907788884292</c:v>
                </c:pt>
                <c:pt idx="274">
                  <c:v>75.014683847301171</c:v>
                </c:pt>
                <c:pt idx="275">
                  <c:v>74.737096300619257</c:v>
                </c:pt>
                <c:pt idx="276">
                  <c:v>74.454153220786992</c:v>
                </c:pt>
                <c:pt idx="277">
                  <c:v>74.165867892075283</c:v>
                </c:pt>
                <c:pt idx="278">
                  <c:v>73.872259098661416</c:v>
                </c:pt>
                <c:pt idx="279">
                  <c:v>73.573351410271286</c:v>
                </c:pt>
                <c:pt idx="280">
                  <c:v>73.269175464078756</c:v>
                </c:pt>
                <c:pt idx="281">
                  <c:v>72.959768240903088</c:v>
                </c:pt>
                <c:pt idx="282">
                  <c:v>72.645173333560663</c:v>
                </c:pt>
                <c:pt idx="283">
                  <c:v>72.325441205068088</c:v>
                </c:pt>
                <c:pt idx="284">
                  <c:v>72.000629434217814</c:v>
                </c:pt>
                <c:pt idx="285">
                  <c:v>71.670802945888852</c:v>
                </c:pt>
                <c:pt idx="286">
                  <c:v>71.336034223295002</c:v>
                </c:pt>
                <c:pt idx="287">
                  <c:v>70.996403499233637</c:v>
                </c:pt>
                <c:pt idx="288">
                  <c:v>70.651998923259825</c:v>
                </c:pt>
                <c:pt idx="289">
                  <c:v>70.302916701605739</c:v>
                </c:pt>
                <c:pt idx="290">
                  <c:v>69.949261206558688</c:v>
                </c:pt>
                <c:pt idx="291">
                  <c:v>69.591145051960126</c:v>
                </c:pt>
                <c:pt idx="292">
                  <c:v>69.228689131427032</c:v>
                </c:pt>
                <c:pt idx="293">
                  <c:v>68.862022615906739</c:v>
                </c:pt>
                <c:pt idx="294">
                  <c:v>68.491282907187653</c:v>
                </c:pt>
                <c:pt idx="295">
                  <c:v>68.116615544066505</c:v>
                </c:pt>
                <c:pt idx="296">
                  <c:v>67.738174057972657</c:v>
                </c:pt>
                <c:pt idx="297">
                  <c:v>67.356119775005951</c:v>
                </c:pt>
                <c:pt idx="298">
                  <c:v>66.970621561550132</c:v>
                </c:pt>
                <c:pt idx="299">
                  <c:v>66.581855510867143</c:v>
                </c:pt>
                <c:pt idx="300">
                  <c:v>66.190004568390364</c:v>
                </c:pt>
                <c:pt idx="301">
                  <c:v>65.795258093778912</c:v>
                </c:pt>
                <c:pt idx="302">
                  <c:v>65.39781135821184</c:v>
                </c:pt>
                <c:pt idx="303">
                  <c:v>64.997864975847193</c:v>
                </c:pt>
                <c:pt idx="304">
                  <c:v>64.595624268885643</c:v>
                </c:pt>
                <c:pt idx="305">
                  <c:v>64.191298566223381</c:v>
                </c:pt>
                <c:pt idx="306">
                  <c:v>63.785100436270064</c:v>
                </c:pt>
                <c:pt idx="307">
                  <c:v>63.377244855142273</c:v>
                </c:pt>
                <c:pt idx="308">
                  <c:v>62.967948312091274</c:v>
                </c:pt>
                <c:pt idx="309">
                  <c:v>62.557427854713175</c:v>
                </c:pt>
                <c:pt idx="310">
                  <c:v>62.145900077179633</c:v>
                </c:pt>
                <c:pt idx="311">
                  <c:v>61.733580055431901</c:v>
                </c:pt>
                <c:pt idx="312">
                  <c:v>61.320680233978145</c:v>
                </c:pt>
                <c:pt idx="313">
                  <c:v>60.907409269619031</c:v>
                </c:pt>
                <c:pt idx="314">
                  <c:v>60.493970838091336</c:v>
                </c:pt>
                <c:pt idx="315">
                  <c:v>60.080562410244148</c:v>
                </c:pt>
                <c:pt idx="316">
                  <c:v>59.667374004948655</c:v>
                </c:pt>
                <c:pt idx="317">
                  <c:v>59.254586926475255</c:v>
                </c:pt>
                <c:pt idx="318">
                  <c:v>58.842372494539482</c:v>
                </c:pt>
                <c:pt idx="319">
                  <c:v>58.430890775612276</c:v>
                </c:pt>
                <c:pt idx="320">
                  <c:v>58.020289324412865</c:v>
                </c:pt>
                <c:pt idx="321">
                  <c:v>57.610701944730245</c:v>
                </c:pt>
                <c:pt idx="322">
                  <c:v>57.202247478861061</c:v>
                </c:pt>
                <c:pt idx="323">
                  <c:v>56.795028634993756</c:v>
                </c:pt>
                <c:pt idx="324">
                  <c:v>56.389130861820497</c:v>
                </c:pt>
                <c:pt idx="325">
                  <c:v>55.984621279497105</c:v>
                </c:pt>
                <c:pt idx="326">
                  <c:v>55.581547675822755</c:v>
                </c:pt>
                <c:pt idx="327">
                  <c:v>55.179937576156028</c:v>
                </c:pt>
                <c:pt idx="328">
                  <c:v>54.779797395143611</c:v>
                </c:pt>
                <c:pt idx="329">
                  <c:v>54.381111677788113</c:v>
                </c:pt>
                <c:pt idx="330">
                  <c:v>53.983842436778723</c:v>
                </c:pt>
                <c:pt idx="331">
                  <c:v>53.587928592284499</c:v>
                </c:pt>
                <c:pt idx="332">
                  <c:v>53.193285519667583</c:v>
                </c:pt>
                <c:pt idx="333">
                  <c:v>52.799804709717407</c:v>
                </c:pt>
                <c:pt idx="334">
                  <c:v>52.407353545148169</c:v>
                </c:pt>
                <c:pt idx="335">
                  <c:v>52.015775196164455</c:v>
                </c:pt>
                <c:pt idx="336">
                  <c:v>51.624888636963199</c:v>
                </c:pt>
                <c:pt idx="337">
                  <c:v>51.234488784054946</c:v>
                </c:pt>
                <c:pt idx="338">
                  <c:v>50.844346756335796</c:v>
                </c:pt>
                <c:pt idx="339">
                  <c:v>50.454210255847158</c:v>
                </c:pt>
                <c:pt idx="340">
                  <c:v>50.063804067231871</c:v>
                </c:pt>
                <c:pt idx="341">
                  <c:v>49.672830672951427</c:v>
                </c:pt>
                <c:pt idx="342">
                  <c:v>49.280970980461078</c:v>
                </c:pt>
                <c:pt idx="343">
                  <c:v>48.887885156692718</c:v>
                </c:pt>
                <c:pt idx="344">
                  <c:v>48.493213564426277</c:v>
                </c:pt>
                <c:pt idx="345">
                  <c:v>48.096577794418202</c:v>
                </c:pt>
                <c:pt idx="346">
                  <c:v>47.697581786523997</c:v>
                </c:pt>
                <c:pt idx="347">
                  <c:v>47.295813032505578</c:v>
                </c:pt>
                <c:pt idx="348">
                  <c:v>46.890843852737561</c:v>
                </c:pt>
                <c:pt idx="349">
                  <c:v>46.482232738670625</c:v>
                </c:pt>
                <c:pt idx="350">
                  <c:v>46.069525752620365</c:v>
                </c:pt>
                <c:pt idx="351">
                  <c:v>45.65225797626843</c:v>
                </c:pt>
                <c:pt idx="352">
                  <c:v>45.229954999177465</c:v>
                </c:pt>
                <c:pt idx="353">
                  <c:v>44.802134438619845</c:v>
                </c:pt>
                <c:pt idx="354">
                  <c:v>44.368307482113153</c:v>
                </c:pt>
                <c:pt idx="355">
                  <c:v>43.927980444234592</c:v>
                </c:pt>
                <c:pt idx="356">
                  <c:v>43.480656329544132</c:v>
                </c:pt>
                <c:pt idx="357">
                  <c:v>43.02583639375726</c:v>
                </c:pt>
                <c:pt idx="358">
                  <c:v>42.563021695723158</c:v>
                </c:pt>
                <c:pt idx="359">
                  <c:v>42.091714633178796</c:v>
                </c:pt>
                <c:pt idx="360">
                  <c:v>41.611420455758555</c:v>
                </c:pt>
                <c:pt idx="361">
                  <c:v>41.121648749247264</c:v>
                </c:pt>
                <c:pt idx="362">
                  <c:v>40.621914885618601</c:v>
                </c:pt>
                <c:pt idx="363">
                  <c:v>40.111741433950257</c:v>
                </c:pt>
                <c:pt idx="364">
                  <c:v>39.590659527878117</c:v>
                </c:pt>
                <c:pt idx="365">
                  <c:v>39.058210185810033</c:v>
                </c:pt>
                <c:pt idx="366">
                  <c:v>38.513945580647203</c:v>
                </c:pt>
                <c:pt idx="367">
                  <c:v>37.957430256305685</c:v>
                </c:pt>
                <c:pt idx="368">
                  <c:v>37.388242288796789</c:v>
                </c:pt>
                <c:pt idx="369">
                  <c:v>36.805974390098413</c:v>
                </c:pt>
                <c:pt idx="370">
                  <c:v>36.210234953449138</c:v>
                </c:pt>
                <c:pt idx="371">
                  <c:v>35.600649039080494</c:v>
                </c:pt>
                <c:pt idx="372">
                  <c:v>34.976859299719308</c:v>
                </c:pt>
                <c:pt idx="373">
                  <c:v>34.338526845470184</c:v>
                </c:pt>
                <c:pt idx="374">
                  <c:v>33.685332047918791</c:v>
                </c:pt>
                <c:pt idx="375">
                  <c:v>33.016975283487128</c:v>
                </c:pt>
                <c:pt idx="376">
                  <c:v>32.333177616201809</c:v>
                </c:pt>
                <c:pt idx="377">
                  <c:v>31.633681420146623</c:v>
                </c:pt>
                <c:pt idx="378">
                  <c:v>30.918250941934474</c:v>
                </c:pt>
                <c:pt idx="379">
                  <c:v>30.186672803566626</c:v>
                </c:pt>
                <c:pt idx="380">
                  <c:v>29.438756446057113</c:v>
                </c:pt>
                <c:pt idx="381">
                  <c:v>28.674334514196108</c:v>
                </c:pt>
                <c:pt idx="382">
                  <c:v>27.893263182791401</c:v>
                </c:pt>
                <c:pt idx="383">
                  <c:v>27.095422424708357</c:v>
                </c:pt>
                <c:pt idx="384">
                  <c:v>26.280716220988911</c:v>
                </c:pt>
                <c:pt idx="385">
                  <c:v>25.4490727133112</c:v>
                </c:pt>
                <c:pt idx="386">
                  <c:v>24.600444299018783</c:v>
                </c:pt>
                <c:pt idx="387">
                  <c:v>23.734807668961942</c:v>
                </c:pt>
                <c:pt idx="388">
                  <c:v>22.852163788398787</c:v>
                </c:pt>
                <c:pt idx="389">
                  <c:v>21.952537821237307</c:v>
                </c:pt>
                <c:pt idx="390">
                  <c:v>21.035978997968449</c:v>
                </c:pt>
                <c:pt idx="391">
                  <c:v>20.102560427716458</c:v>
                </c:pt>
                <c:pt idx="392">
                  <c:v>19.152378854946324</c:v>
                </c:pt>
                <c:pt idx="393">
                  <c:v>18.185554361500557</c:v>
                </c:pt>
                <c:pt idx="394">
                  <c:v>17.2022300147956</c:v>
                </c:pt>
                <c:pt idx="395">
                  <c:v>16.202571463182839</c:v>
                </c:pt>
                <c:pt idx="396">
                  <c:v>15.186766479674917</c:v>
                </c:pt>
                <c:pt idx="397">
                  <c:v>14.155024455439101</c:v>
                </c:pt>
                <c:pt idx="398">
                  <c:v>13.107575844676116</c:v>
                </c:pt>
                <c:pt idx="399">
                  <c:v>12.044671562714701</c:v>
                </c:pt>
                <c:pt idx="400">
                  <c:v>10.966582339364907</c:v>
                </c:pt>
                <c:pt idx="401">
                  <c:v>9.8735980297703474</c:v>
                </c:pt>
                <c:pt idx="402">
                  <c:v>8.7660268851939627</c:v>
                </c:pt>
                <c:pt idx="403">
                  <c:v>7.6441947863290158</c:v>
                </c:pt>
                <c:pt idx="404">
                  <c:v>6.5084444418800738</c:v>
                </c:pt>
                <c:pt idx="405">
                  <c:v>5.3591345552598888</c:v>
                </c:pt>
                <c:pt idx="406">
                  <c:v>4.1966389623458165</c:v>
                </c:pt>
                <c:pt idx="407">
                  <c:v>3.0213457432739208</c:v>
                </c:pt>
                <c:pt idx="408">
                  <c:v>1.8336563112688011</c:v>
                </c:pt>
                <c:pt idx="409">
                  <c:v>0.63398448149514719</c:v>
                </c:pt>
                <c:pt idx="410">
                  <c:v>-0.57724447714868288</c:v>
                </c:pt>
                <c:pt idx="411">
                  <c:v>-1.7995948044453167</c:v>
                </c:pt>
                <c:pt idx="412">
                  <c:v>-3.0326212227468621</c:v>
                </c:pt>
                <c:pt idx="413">
                  <c:v>-4.2758699197257277</c:v>
                </c:pt>
                <c:pt idx="414">
                  <c:v>-5.5288795375309281</c:v>
                </c:pt>
                <c:pt idx="415">
                  <c:v>-6.7911821660383369</c:v>
                </c:pt>
                <c:pt idx="416">
                  <c:v>-8.0623043380538828</c:v>
                </c:pt>
                <c:pt idx="417">
                  <c:v>-9.3417680244746695</c:v>
                </c:pt>
                <c:pt idx="418">
                  <c:v>-10.629091627568666</c:v>
                </c:pt>
                <c:pt idx="419">
                  <c:v>-11.923790970660605</c:v>
                </c:pt>
                <c:pt idx="420">
                  <c:v>-13.225380282623837</c:v>
                </c:pt>
                <c:pt idx="421">
                  <c:v>-14.533373175666643</c:v>
                </c:pt>
                <c:pt idx="422">
                  <c:v>-15.847283614949337</c:v>
                </c:pt>
                <c:pt idx="423">
                  <c:v>-17.166626878610963</c:v>
                </c:pt>
                <c:pt idx="424">
                  <c:v>-18.490920506750903</c:v>
                </c:pt>
                <c:pt idx="425">
                  <c:v>-19.819685237901179</c:v>
                </c:pt>
                <c:pt idx="426">
                  <c:v>-21.15244593143154</c:v>
                </c:pt>
                <c:pt idx="427">
                  <c:v>-22.488732474238049</c:v>
                </c:pt>
                <c:pt idx="428">
                  <c:v>-23.828080669947493</c:v>
                </c:pt>
                <c:pt idx="429">
                  <c:v>-25.170033108730664</c:v>
                </c:pt>
                <c:pt idx="430">
                  <c:v>-26.51414001564169</c:v>
                </c:pt>
                <c:pt idx="431">
                  <c:v>-27.859960075274017</c:v>
                </c:pt>
                <c:pt idx="432">
                  <c:v>-29.207061230327103</c:v>
                </c:pt>
                <c:pt idx="433">
                  <c:v>-30.555021451556904</c:v>
                </c:pt>
                <c:pt idx="434">
                  <c:v>-31.90342947641728</c:v>
                </c:pt>
                <c:pt idx="435">
                  <c:v>-33.251885513603177</c:v>
                </c:pt>
                <c:pt idx="436">
                  <c:v>-34.600001910603957</c:v>
                </c:pt>
                <c:pt idx="437">
                  <c:v>-35.947403781331154</c:v>
                </c:pt>
                <c:pt idx="438">
                  <c:v>-37.293729590849161</c:v>
                </c:pt>
                <c:pt idx="439">
                  <c:v>-38.638631694283497</c:v>
                </c:pt>
                <c:pt idx="440">
                  <c:v>-39.981776827018372</c:v>
                </c:pt>
                <c:pt idx="441">
                  <c:v>-41.322846543439042</c:v>
                </c:pt>
                <c:pt idx="442">
                  <c:v>-42.661537601594524</c:v>
                </c:pt>
                <c:pt idx="443">
                  <c:v>-43.997562291378557</c:v>
                </c:pt>
                <c:pt idx="444">
                  <c:v>-45.330648704055356</c:v>
                </c:pt>
                <c:pt idx="445">
                  <c:v>-46.660540941226515</c:v>
                </c:pt>
                <c:pt idx="446">
                  <c:v>-47.986999261658823</c:v>
                </c:pt>
                <c:pt idx="447">
                  <c:v>-49.309800164703191</c:v>
                </c:pt>
                <c:pt idx="448">
                  <c:v>-50.628736409421194</c:v>
                </c:pt>
                <c:pt idx="449">
                  <c:v>-51.943616968893174</c:v>
                </c:pt>
                <c:pt idx="450">
                  <c:v>-53.254266919566071</c:v>
                </c:pt>
                <c:pt idx="451">
                  <c:v>-54.560527265906991</c:v>
                </c:pt>
                <c:pt idx="452">
                  <c:v>-55.86225470099432</c:v>
                </c:pt>
                <c:pt idx="453">
                  <c:v>-57.159321304093282</c:v>
                </c:pt>
                <c:pt idx="454">
                  <c:v>-58.451614176601694</c:v>
                </c:pt>
                <c:pt idx="455">
                  <c:v>-59.739035018150702</c:v>
                </c:pt>
                <c:pt idx="456">
                  <c:v>-61.021499644939972</c:v>
                </c:pt>
                <c:pt idx="457">
                  <c:v>-62.298937452757635</c:v>
                </c:pt>
                <c:pt idx="458">
                  <c:v>-63.571290827388431</c:v>
                </c:pt>
                <c:pt idx="459">
                  <c:v>-64.83851450540719</c:v>
                </c:pt>
                <c:pt idx="460">
                  <c:v>-66.100574888597265</c:v>
                </c:pt>
                <c:pt idx="461">
                  <c:v>-67.357449315446132</c:v>
                </c:pt>
                <c:pt idx="462">
                  <c:v>-68.609125293374717</c:v>
                </c:pt>
                <c:pt idx="463">
                  <c:v>-69.855599695513177</c:v>
                </c:pt>
                <c:pt idx="464">
                  <c:v>-71.096877925995614</c:v>
                </c:pt>
                <c:pt idx="465">
                  <c:v>-72.332973057852541</c:v>
                </c:pt>
                <c:pt idx="466">
                  <c:v>-73.563904947701261</c:v>
                </c:pt>
                <c:pt idx="467">
                  <c:v>-74.789699331501652</c:v>
                </c:pt>
                <c:pt idx="468">
                  <c:v>-76.010386905722143</c:v>
                </c:pt>
                <c:pt idx="469">
                  <c:v>-77.226002398307614</c:v>
                </c:pt>
                <c:pt idx="470">
                  <c:v>-78.43658363388441</c:v>
                </c:pt>
                <c:pt idx="471">
                  <c:v>-79.642170597656275</c:v>
                </c:pt>
                <c:pt idx="472">
                  <c:v>-80.842804502461334</c:v>
                </c:pt>
                <c:pt idx="473">
                  <c:v>-82.038526863472839</c:v>
                </c:pt>
                <c:pt idx="474">
                  <c:v>-83.22937858500282</c:v>
                </c:pt>
                <c:pt idx="475">
                  <c:v>-84.415399063864314</c:v>
                </c:pt>
                <c:pt idx="476">
                  <c:v>-85.596625313711215</c:v>
                </c:pt>
                <c:pt idx="477">
                  <c:v>-86.773091114735251</c:v>
                </c:pt>
                <c:pt idx="478">
                  <c:v>-87.944826193042658</c:v>
                </c:pt>
                <c:pt idx="479">
                  <c:v>-89.111855433963299</c:v>
                </c:pt>
                <c:pt idx="480">
                  <c:v>-90.27419813346178</c:v>
                </c:pt>
                <c:pt idx="481">
                  <c:v>-91.431867291696136</c:v>
                </c:pt>
                <c:pt idx="482">
                  <c:v>-92.584868952663982</c:v>
                </c:pt>
                <c:pt idx="483">
                  <c:v>-93.733201593695512</c:v>
                </c:pt>
                <c:pt idx="484">
                  <c:v>-94.876855568392472</c:v>
                </c:pt>
                <c:pt idx="485">
                  <c:v>-96.01581260638703</c:v>
                </c:pt>
                <c:pt idx="486">
                  <c:v>-97.150045373061673</c:v>
                </c:pt>
                <c:pt idx="487">
                  <c:v>-98.279517092093727</c:v>
                </c:pt>
                <c:pt idx="488">
                  <c:v>-99.404181233373905</c:v>
                </c:pt>
                <c:pt idx="489">
                  <c:v>-100.52398126852043</c:v>
                </c:pt>
                <c:pt idx="490">
                  <c:v>-101.63885049581356</c:v>
                </c:pt>
                <c:pt idx="491">
                  <c:v>-102.74871193598042</c:v>
                </c:pt>
                <c:pt idx="492">
                  <c:v>-103.85347829980908</c:v>
                </c:pt>
                <c:pt idx="493">
                  <c:v>-104.9530520280979</c:v>
                </c:pt>
                <c:pt idx="494">
                  <c:v>-106.04732540395226</c:v>
                </c:pt>
                <c:pt idx="495">
                  <c:v>-107.13618073691576</c:v>
                </c:pt>
                <c:pt idx="496">
                  <c:v>-108.21949061788777</c:v>
                </c:pt>
                <c:pt idx="497">
                  <c:v>-109.29711824323</c:v>
                </c:pt>
                <c:pt idx="498">
                  <c:v>-110.36891780591174</c:v>
                </c:pt>
                <c:pt idx="499">
                  <c:v>-111.43473495099479</c:v>
                </c:pt>
                <c:pt idx="500">
                  <c:v>-112.49440729221762</c:v>
                </c:pt>
                <c:pt idx="501">
                  <c:v>-113.54776498591701</c:v>
                </c:pt>
                <c:pt idx="502">
                  <c:v>-114.59463135803358</c:v>
                </c:pt>
                <c:pt idx="503">
                  <c:v>-115.63482357948092</c:v>
                </c:pt>
                <c:pt idx="504">
                  <c:v>-116.66815338474424</c:v>
                </c:pt>
                <c:pt idx="505">
                  <c:v>-117.69442782820354</c:v>
                </c:pt>
                <c:pt idx="506">
                  <c:v>-118.71345007235945</c:v>
                </c:pt>
                <c:pt idx="507">
                  <c:v>-119.72502020188632</c:v>
                </c:pt>
                <c:pt idx="508">
                  <c:v>-120.72893605726013</c:v>
                </c:pt>
                <c:pt idx="509">
                  <c:v>-121.724994081573</c:v>
                </c:pt>
                <c:pt idx="510">
                  <c:v>-122.71299017411533</c:v>
                </c:pt>
                <c:pt idx="511">
                  <c:v>-123.69272054432732</c:v>
                </c:pt>
                <c:pt idx="512">
                  <c:v>-124.66398255981451</c:v>
                </c:pt>
                <c:pt idx="513">
                  <c:v>-125.62657558230678</c:v>
                </c:pt>
                <c:pt idx="514">
                  <c:v>-126.58030178564948</c:v>
                </c:pt>
                <c:pt idx="515">
                  <c:v>-127.52496695024516</c:v>
                </c:pt>
                <c:pt idx="516">
                  <c:v>-128.46038122869354</c:v>
                </c:pt>
                <c:pt idx="517">
                  <c:v>-129.38635987780316</c:v>
                </c:pt>
                <c:pt idx="518">
                  <c:v>-130.30272395258353</c:v>
                </c:pt>
                <c:pt idx="519">
                  <c:v>-131.20930095833802</c:v>
                </c:pt>
                <c:pt idx="520">
                  <c:v>-132.10592545745234</c:v>
                </c:pt>
                <c:pt idx="521">
                  <c:v>-132.99243962805494</c:v>
                </c:pt>
                <c:pt idx="522">
                  <c:v>-133.86869377223223</c:v>
                </c:pt>
                <c:pt idx="523">
                  <c:v>-134.73454677205081</c:v>
                </c:pt>
                <c:pt idx="524">
                  <c:v>-135.58986649217638</c:v>
                </c:pt>
                <c:pt idx="525">
                  <c:v>-136.43453012840257</c:v>
                </c:pt>
                <c:pt idx="526">
                  <c:v>-137.2684245019145</c:v>
                </c:pt>
                <c:pt idx="527">
                  <c:v>-138.09144629961264</c:v>
                </c:pt>
                <c:pt idx="528">
                  <c:v>-138.90350226124227</c:v>
                </c:pt>
                <c:pt idx="529">
                  <c:v>-139.70450931453172</c:v>
                </c:pt>
                <c:pt idx="530">
                  <c:v>-140.49439465988215</c:v>
                </c:pt>
                <c:pt idx="531">
                  <c:v>-141.27309580652266</c:v>
                </c:pt>
                <c:pt idx="532">
                  <c:v>-142.04056056232048</c:v>
                </c:pt>
                <c:pt idx="533">
                  <c:v>-142.79674697969071</c:v>
                </c:pt>
                <c:pt idx="534">
                  <c:v>-143.5416232602615</c:v>
                </c:pt>
                <c:pt idx="535">
                  <c:v>-144.27516762110858</c:v>
                </c:pt>
                <c:pt idx="536">
                  <c:v>-144.99736812550154</c:v>
                </c:pt>
                <c:pt idx="537">
                  <c:v>-145.70822248118461</c:v>
                </c:pt>
                <c:pt idx="538">
                  <c:v>-146.40773780925642</c:v>
                </c:pt>
                <c:pt idx="539">
                  <c:v>-147.09593038672978</c:v>
                </c:pt>
                <c:pt idx="540">
                  <c:v>-147.77282536582598</c:v>
                </c:pt>
                <c:pt idx="541">
                  <c:v>-148.43845647301271</c:v>
                </c:pt>
              </c:numCache>
            </c:numRef>
          </c:yVal>
          <c:smooth val="1"/>
          <c:extLst>
            <c:ext xmlns:c16="http://schemas.microsoft.com/office/drawing/2014/chart" uri="{C3380CC4-5D6E-409C-BE32-E72D297353CC}">
              <c16:uniqueId val="{00000001-F188-4D39-B62C-FFCB026FFDB3}"/>
            </c:ext>
          </c:extLst>
        </c:ser>
        <c:dLbls>
          <c:showLegendKey val="0"/>
          <c:showVal val="0"/>
          <c:showCatName val="0"/>
          <c:showSerName val="0"/>
          <c:showPercent val="0"/>
          <c:showBubbleSize val="0"/>
        </c:dLbls>
        <c:axId val="161005952"/>
        <c:axId val="160987776"/>
      </c:scatterChart>
      <c:valAx>
        <c:axId val="160959104"/>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160985856"/>
        <c:crosses val="autoZero"/>
        <c:crossBetween val="midCat"/>
      </c:valAx>
      <c:valAx>
        <c:axId val="160985856"/>
        <c:scaling>
          <c:orientation val="minMax"/>
          <c:max val="40"/>
          <c:min val="-4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a:solidFill>
                  <a:srgbClr val="FF0000"/>
                </a:solidFill>
              </a:defRPr>
            </a:pPr>
            <a:endParaRPr lang="en-US"/>
          </a:p>
        </c:txPr>
        <c:crossAx val="160959104"/>
        <c:crosses val="autoZero"/>
        <c:crossBetween val="midCat"/>
        <c:majorUnit val="20"/>
        <c:minorUnit val="10"/>
      </c:valAx>
      <c:valAx>
        <c:axId val="160987776"/>
        <c:scaling>
          <c:orientation val="minMax"/>
          <c:max val="180"/>
          <c:min val="-180"/>
        </c:scaling>
        <c:delete val="0"/>
        <c:axPos val="r"/>
        <c:numFmt formatCode="General" sourceLinked="1"/>
        <c:majorTickMark val="out"/>
        <c:minorTickMark val="none"/>
        <c:tickLblPos val="nextTo"/>
        <c:txPr>
          <a:bodyPr/>
          <a:lstStyle/>
          <a:p>
            <a:pPr>
              <a:defRPr>
                <a:solidFill>
                  <a:schemeClr val="tx1">
                    <a:lumMod val="95000"/>
                    <a:lumOff val="5000"/>
                  </a:schemeClr>
                </a:solidFill>
              </a:defRPr>
            </a:pPr>
            <a:endParaRPr lang="en-US"/>
          </a:p>
        </c:txPr>
        <c:crossAx val="161005952"/>
        <c:crosses val="max"/>
        <c:crossBetween val="midCat"/>
        <c:majorUnit val="90"/>
        <c:minorUnit val="45"/>
      </c:valAx>
      <c:valAx>
        <c:axId val="161005952"/>
        <c:scaling>
          <c:logBase val="10"/>
          <c:orientation val="minMax"/>
        </c:scaling>
        <c:delete val="1"/>
        <c:axPos val="b"/>
        <c:numFmt formatCode="0.00" sourceLinked="1"/>
        <c:majorTickMark val="out"/>
        <c:minorTickMark val="none"/>
        <c:tickLblPos val="nextTo"/>
        <c:crossAx val="160987776"/>
        <c:crosses val="autoZero"/>
        <c:crossBetween val="midCat"/>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2400"/>
            </a:pPr>
            <a:r>
              <a:rPr lang="el-GR" sz="2400"/>
              <a:t>η</a:t>
            </a:r>
            <a:endParaRPr lang="en-US" sz="2400"/>
          </a:p>
        </c:rich>
      </c:tx>
      <c:layout>
        <c:manualLayout>
          <c:xMode val="edge"/>
          <c:yMode val="edge"/>
          <c:x val="9.2321838295158831E-2"/>
          <c:y val="6.7069081153588199E-3"/>
        </c:manualLayout>
      </c:layout>
      <c:overlay val="1"/>
    </c:title>
    <c:autoTitleDeleted val="0"/>
    <c:plotArea>
      <c:layout>
        <c:manualLayout>
          <c:layoutTarget val="inner"/>
          <c:xMode val="edge"/>
          <c:yMode val="edge"/>
          <c:x val="9.4343575816580413E-2"/>
          <c:y val="0.12777504924560487"/>
          <c:w val="0.82170691922728745"/>
          <c:h val="0.74982770867653059"/>
        </c:manualLayout>
      </c:layout>
      <c:scatterChart>
        <c:scatterStyle val="smoothMarker"/>
        <c:varyColors val="0"/>
        <c:ser>
          <c:idx val="0"/>
          <c:order val="0"/>
          <c:tx>
            <c:v>Eff</c:v>
          </c:tx>
          <c:spPr>
            <a:ln>
              <a:solidFill>
                <a:srgbClr val="FF0000"/>
              </a:solidFill>
            </a:ln>
          </c:spPr>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Eff_vs_IOUT!$AT$7:$AT$157</c:f>
              <c:numCache>
                <c:formatCode>General</c:formatCode>
                <c:ptCount val="151"/>
                <c:pt idx="0">
                  <c:v>0</c:v>
                </c:pt>
                <c:pt idx="1">
                  <c:v>46.758318052445624</c:v>
                </c:pt>
                <c:pt idx="2">
                  <c:v>62.926234121429701</c:v>
                </c:pt>
                <c:pt idx="3">
                  <c:v>71.123422480481963</c:v>
                </c:pt>
                <c:pt idx="4">
                  <c:v>76.078358560374198</c:v>
                </c:pt>
                <c:pt idx="5">
                  <c:v>79.396921840599362</c:v>
                </c:pt>
                <c:pt idx="6">
                  <c:v>81.774765377402375</c:v>
                </c:pt>
                <c:pt idx="7">
                  <c:v>83.562176175261953</c:v>
                </c:pt>
                <c:pt idx="8">
                  <c:v>84.954736601946905</c:v>
                </c:pt>
                <c:pt idx="9">
                  <c:v>86.070238250511807</c:v>
                </c:pt>
                <c:pt idx="10">
                  <c:v>86.983859243082776</c:v>
                </c:pt>
                <c:pt idx="11">
                  <c:v>87.745836052529086</c:v>
                </c:pt>
                <c:pt idx="12">
                  <c:v>88.391014687793216</c:v>
                </c:pt>
                <c:pt idx="13">
                  <c:v>88.944325091872784</c:v>
                </c:pt>
                <c:pt idx="14">
                  <c:v>89.424074053041267</c:v>
                </c:pt>
                <c:pt idx="15">
                  <c:v>89.844007644797927</c:v>
                </c:pt>
                <c:pt idx="16">
                  <c:v>90.214648168683837</c:v>
                </c:pt>
                <c:pt idx="17">
                  <c:v>90.544186849150449</c:v>
                </c:pt>
                <c:pt idx="18">
                  <c:v>90.839095462728352</c:v>
                </c:pt>
                <c:pt idx="19">
                  <c:v>91.104554996009895</c:v>
                </c:pt>
                <c:pt idx="20">
                  <c:v>91.34476215853141</c:v>
                </c:pt>
                <c:pt idx="21">
                  <c:v>91.563152515046113</c:v>
                </c:pt>
                <c:pt idx="22">
                  <c:v>91.762565551582028</c:v>
                </c:pt>
                <c:pt idx="23">
                  <c:v>91.945368571450189</c:v>
                </c:pt>
                <c:pt idx="24">
                  <c:v>92.113550922828082</c:v>
                </c:pt>
                <c:pt idx="25">
                  <c:v>92.268796528275615</c:v>
                </c:pt>
                <c:pt idx="26">
                  <c:v>92.412540329892792</c:v>
                </c:pt>
                <c:pt idx="27">
                  <c:v>92.546012663143856</c:v>
                </c:pt>
                <c:pt idx="28">
                  <c:v>92.670274467483338</c:v>
                </c:pt>
                <c:pt idx="29">
                  <c:v>92.748184225838543</c:v>
                </c:pt>
                <c:pt idx="30">
                  <c:v>92.855704580626494</c:v>
                </c:pt>
                <c:pt idx="31">
                  <c:v>92.956404522391765</c:v>
                </c:pt>
                <c:pt idx="32">
                  <c:v>93.050902945592497</c:v>
                </c:pt>
                <c:pt idx="33">
                  <c:v>93.139746064575206</c:v>
                </c:pt>
                <c:pt idx="34">
                  <c:v>93.22341777829989</c:v>
                </c:pt>
                <c:pt idx="35">
                  <c:v>93.302348310546563</c:v>
                </c:pt>
                <c:pt idx="36">
                  <c:v>93.376921451324023</c:v>
                </c:pt>
                <c:pt idx="37">
                  <c:v>93.447480656739188</c:v>
                </c:pt>
                <c:pt idx="38">
                  <c:v>93.514334211897548</c:v>
                </c:pt>
                <c:pt idx="39">
                  <c:v>93.577759620552939</c:v>
                </c:pt>
                <c:pt idx="40">
                  <c:v>93.638007353328476</c:v>
                </c:pt>
                <c:pt idx="41">
                  <c:v>93.69530406125746</c:v>
                </c:pt>
                <c:pt idx="42">
                  <c:v>93.749855341561357</c:v>
                </c:pt>
                <c:pt idx="43">
                  <c:v>93.801848126800863</c:v>
                </c:pt>
                <c:pt idx="44">
                  <c:v>93.851452755906621</c:v>
                </c:pt>
                <c:pt idx="45">
                  <c:v>93.898824775435017</c:v>
                </c:pt>
                <c:pt idx="46">
                  <c:v>93.944106511175747</c:v>
                </c:pt>
                <c:pt idx="47">
                  <c:v>93.98742844355904</c:v>
                </c:pt>
                <c:pt idx="48">
                  <c:v>94.028910414855957</c:v>
                </c:pt>
                <c:pt idx="49">
                  <c:v>94.068662691692097</c:v>
                </c:pt>
                <c:pt idx="50">
                  <c:v>94.10678690270953</c:v>
                </c:pt>
                <c:pt idx="51">
                  <c:v>94.143376868164538</c:v>
                </c:pt>
                <c:pt idx="52">
                  <c:v>94.178519335717013</c:v>
                </c:pt>
                <c:pt idx="53">
                  <c:v>94.21229463455802</c:v>
                </c:pt>
                <c:pt idx="54">
                  <c:v>94.244777258257699</c:v>
                </c:pt>
                <c:pt idx="55">
                  <c:v>94.276036385233155</c:v>
                </c:pt>
                <c:pt idx="56">
                  <c:v>94.306136344489246</c:v>
                </c:pt>
                <c:pt idx="57">
                  <c:v>94.335137033230154</c:v>
                </c:pt>
                <c:pt idx="58">
                  <c:v>94.363094292045929</c:v>
                </c:pt>
                <c:pt idx="59">
                  <c:v>94.390060242618887</c:v>
                </c:pt>
                <c:pt idx="60">
                  <c:v>94.416083592245968</c:v>
                </c:pt>
                <c:pt idx="61">
                  <c:v>94.441209908920669</c:v>
                </c:pt>
                <c:pt idx="62">
                  <c:v>94.465481870241916</c:v>
                </c:pt>
                <c:pt idx="63">
                  <c:v>94.488939489010122</c:v>
                </c:pt>
                <c:pt idx="64">
                  <c:v>94.511620318018615</c:v>
                </c:pt>
                <c:pt idx="65">
                  <c:v>94.533559636244945</c:v>
                </c:pt>
                <c:pt idx="66">
                  <c:v>94.554790618383507</c:v>
                </c:pt>
                <c:pt idx="67">
                  <c:v>94.575344489432993</c:v>
                </c:pt>
                <c:pt idx="68">
                  <c:v>94.595250665853271</c:v>
                </c:pt>
                <c:pt idx="69">
                  <c:v>94.614536884633765</c:v>
                </c:pt>
                <c:pt idx="70">
                  <c:v>94.633229321464</c:v>
                </c:pt>
                <c:pt idx="71">
                  <c:v>94.651352699065015</c:v>
                </c:pt>
                <c:pt idx="72">
                  <c:v>94.668930386624268</c:v>
                </c:pt>
                <c:pt idx="73">
                  <c:v>94.685984491174963</c:v>
                </c:pt>
                <c:pt idx="74">
                  <c:v>94.702535941670888</c:v>
                </c:pt>
                <c:pt idx="75">
                  <c:v>94.718604566429306</c:v>
                </c:pt>
                <c:pt idx="76">
                  <c:v>94.734209164543941</c:v>
                </c:pt>
                <c:pt idx="77">
                  <c:v>94.74936757180906</c:v>
                </c:pt>
                <c:pt idx="78">
                  <c:v>94.764096721640584</c:v>
                </c:pt>
                <c:pt idx="79">
                  <c:v>94.778412701431463</c:v>
                </c:pt>
                <c:pt idx="80">
                  <c:v>94.792330804735997</c:v>
                </c:pt>
                <c:pt idx="81">
                  <c:v>94.805865579638308</c:v>
                </c:pt>
                <c:pt idx="82">
                  <c:v>94.81903087362717</c:v>
                </c:pt>
                <c:pt idx="83">
                  <c:v>94.831839875267647</c:v>
                </c:pt>
                <c:pt idx="84">
                  <c:v>94.844305152933401</c:v>
                </c:pt>
                <c:pt idx="85">
                  <c:v>94.856438690838729</c:v>
                </c:pt>
                <c:pt idx="86">
                  <c:v>94.868251922587149</c:v>
                </c:pt>
                <c:pt idx="87">
                  <c:v>94.879755762434471</c:v>
                </c:pt>
                <c:pt idx="88">
                  <c:v>94.890960634445534</c:v>
                </c:pt>
                <c:pt idx="89">
                  <c:v>94.901876499708436</c:v>
                </c:pt>
                <c:pt idx="90">
                  <c:v>94.912512881755802</c:v>
                </c:pt>
                <c:pt idx="91">
                  <c:v>94.922878890329031</c:v>
                </c:pt>
                <c:pt idx="92">
                  <c:v>94.932983243610607</c:v>
                </c:pt>
                <c:pt idx="93">
                  <c:v>94.942834289037975</c:v>
                </c:pt>
                <c:pt idx="94">
                  <c:v>94.952440022804012</c:v>
                </c:pt>
                <c:pt idx="95">
                  <c:v>94.961808108139294</c:v>
                </c:pt>
                <c:pt idx="96">
                  <c:v>94.970945892464243</c:v>
                </c:pt>
                <c:pt idx="97">
                  <c:v>94.9798604234918</c:v>
                </c:pt>
                <c:pt idx="98">
                  <c:v>94.988558464354838</c:v>
                </c:pt>
                <c:pt idx="99">
                  <c:v>94.997046507826482</c:v>
                </c:pt>
                <c:pt idx="100">
                  <c:v>95.005330789696046</c:v>
                </c:pt>
                <c:pt idx="101">
                  <c:v>95.013417301358842</c:v>
                </c:pt>
                <c:pt idx="102">
                  <c:v>95.021311801672809</c:v>
                </c:pt>
                <c:pt idx="103">
                  <c:v>95.029019828131567</c:v>
                </c:pt>
                <c:pt idx="104">
                  <c:v>95.036546707399651</c:v>
                </c:pt>
                <c:pt idx="105">
                  <c:v>95.043897565251243</c:v>
                </c:pt>
                <c:pt idx="106">
                  <c:v>95.051077335952428</c:v>
                </c:pt>
                <c:pt idx="107">
                  <c:v>95.058090771122153</c:v>
                </c:pt>
                <c:pt idx="108">
                  <c:v>95.064942448105882</c:v>
                </c:pt>
                <c:pt idx="109">
                  <c:v>95.071636777892678</c:v>
                </c:pt>
                <c:pt idx="110">
                  <c:v>95.078178012604624</c:v>
                </c:pt>
                <c:pt idx="111">
                  <c:v>95.084570252585237</c:v>
                </c:pt>
                <c:pt idx="112">
                  <c:v>95.09081745311164</c:v>
                </c:pt>
                <c:pt idx="113">
                  <c:v>95.096923430753691</c:v>
                </c:pt>
                <c:pt idx="114">
                  <c:v>95.102891869401645</c:v>
                </c:pt>
                <c:pt idx="115">
                  <c:v>95.108726325981948</c:v>
                </c:pt>
                <c:pt idx="116">
                  <c:v>95.114430235880263</c:v>
                </c:pt>
                <c:pt idx="117">
                  <c:v>95.120006918088833</c:v>
                </c:pt>
                <c:pt idx="118">
                  <c:v>95.125459580094414</c:v>
                </c:pt>
                <c:pt idx="119">
                  <c:v>95.130791322521986</c:v>
                </c:pt>
                <c:pt idx="120">
                  <c:v>95.136005143548303</c:v>
                </c:pt>
                <c:pt idx="121">
                  <c:v>95.141103943098415</c:v>
                </c:pt>
                <c:pt idx="122">
                  <c:v>95.146090526837796</c:v>
                </c:pt>
                <c:pt idx="123">
                  <c:v>95.150967609971104</c:v>
                </c:pt>
                <c:pt idx="124">
                  <c:v>95.155737820858903</c:v>
                </c:pt>
                <c:pt idx="125">
                  <c:v>95.160403704462169</c:v>
                </c:pt>
                <c:pt idx="126">
                  <c:v>95.164967725624237</c:v>
                </c:pt>
                <c:pt idx="127">
                  <c:v>95.169432272198733</c:v>
                </c:pt>
                <c:pt idx="128">
                  <c:v>95.173799658032422</c:v>
                </c:pt>
                <c:pt idx="129">
                  <c:v>95.178072125810161</c:v>
                </c:pt>
                <c:pt idx="130">
                  <c:v>95.182251849769813</c:v>
                </c:pt>
                <c:pt idx="131">
                  <c:v>95.186340938293696</c:v>
                </c:pt>
                <c:pt idx="132">
                  <c:v>95.190341436383207</c:v>
                </c:pt>
                <c:pt idx="133">
                  <c:v>95.194255328022763</c:v>
                </c:pt>
                <c:pt idx="134">
                  <c:v>95.198084538438536</c:v>
                </c:pt>
                <c:pt idx="135">
                  <c:v>95.201830936257878</c:v>
                </c:pt>
                <c:pt idx="136">
                  <c:v>95.205496335573898</c:v>
                </c:pt>
                <c:pt idx="137">
                  <c:v>95.209082497920534</c:v>
                </c:pt>
                <c:pt idx="138">
                  <c:v>95.212591134162366</c:v>
                </c:pt>
                <c:pt idx="139">
                  <c:v>95.216023906303334</c:v>
                </c:pt>
                <c:pt idx="140">
                  <c:v>95.219382429218811</c:v>
                </c:pt>
                <c:pt idx="141">
                  <c:v>95.222668272314138</c:v>
                </c:pt>
                <c:pt idx="142">
                  <c:v>95.225882961113953</c:v>
                </c:pt>
                <c:pt idx="143">
                  <c:v>95.229027978785126</c:v>
                </c:pt>
                <c:pt idx="144">
                  <c:v>95.232104767596738</c:v>
                </c:pt>
                <c:pt idx="145">
                  <c:v>95.235114730320149</c:v>
                </c:pt>
                <c:pt idx="146">
                  <c:v>95.238059231571853</c:v>
                </c:pt>
                <c:pt idx="147">
                  <c:v>95.240939599101964</c:v>
                </c:pt>
                <c:pt idx="148">
                  <c:v>95.243757125030896</c:v>
                </c:pt>
                <c:pt idx="149">
                  <c:v>95.24651306703646</c:v>
                </c:pt>
                <c:pt idx="150">
                  <c:v>95.249208649493909</c:v>
                </c:pt>
              </c:numCache>
            </c:numRef>
          </c:yVal>
          <c:smooth val="0"/>
          <c:extLst>
            <c:ext xmlns:c16="http://schemas.microsoft.com/office/drawing/2014/chart" uri="{C3380CC4-5D6E-409C-BE32-E72D297353CC}">
              <c16:uniqueId val="{00000000-D428-476F-9D9B-414A5D21B4D3}"/>
            </c:ext>
          </c:extLst>
        </c:ser>
        <c:dLbls>
          <c:showLegendKey val="0"/>
          <c:showVal val="0"/>
          <c:showCatName val="0"/>
          <c:showSerName val="0"/>
          <c:showPercent val="0"/>
          <c:showBubbleSize val="0"/>
        </c:dLbls>
        <c:axId val="161084544"/>
        <c:axId val="161086080"/>
      </c:scatterChart>
      <c:scatterChart>
        <c:scatterStyle val="smoothMarker"/>
        <c:varyColors val="0"/>
        <c:ser>
          <c:idx val="1"/>
          <c:order val="1"/>
          <c:tx>
            <c:v>MOSFET</c:v>
          </c:tx>
          <c:spPr>
            <a:ln>
              <a:solidFill>
                <a:schemeClr val="tx2">
                  <a:lumMod val="75000"/>
                </a:schemeClr>
              </a:solidFill>
              <a:prstDash val="dashDot"/>
            </a:ln>
          </c:spPr>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Eff_vs_IOUT!$AI$7:$AI$157</c:f>
              <c:numCache>
                <c:formatCode>General</c:formatCode>
                <c:ptCount val="151"/>
                <c:pt idx="0">
                  <c:v>0</c:v>
                </c:pt>
                <c:pt idx="1">
                  <c:v>8.0984311314242444E-3</c:v>
                </c:pt>
                <c:pt idx="2">
                  <c:v>1.6198362205074712E-2</c:v>
                </c:pt>
                <c:pt idx="3">
                  <c:v>2.4299269726837953E-2</c:v>
                </c:pt>
                <c:pt idx="4">
                  <c:v>3.2400966887427621E-2</c:v>
                </c:pt>
                <c:pt idx="5">
                  <c:v>4.0503345721392116E-2</c:v>
                </c:pt>
                <c:pt idx="6">
                  <c:v>4.8606333382108603E-2</c:v>
                </c:pt>
                <c:pt idx="7">
                  <c:v>5.6709876391018176E-2</c:v>
                </c:pt>
                <c:pt idx="8">
                  <c:v>6.4813933312665009E-2</c:v>
                </c:pt>
                <c:pt idx="9">
                  <c:v>7.2918470810606081E-2</c:v>
                </c:pt>
                <c:pt idx="10">
                  <c:v>8.1023461306685002E-2</c:v>
                </c:pt>
                <c:pt idx="11">
                  <c:v>8.9128881491162978E-2</c:v>
                </c:pt>
                <c:pt idx="12">
                  <c:v>9.723471132280459E-2</c:v>
                </c:pt>
                <c:pt idx="13">
                  <c:v>0.10534093332926026</c:v>
                </c:pt>
                <c:pt idx="14">
                  <c:v>0.11344753210081716</c:v>
                </c:pt>
                <c:pt idx="15">
                  <c:v>0.12155449391376118</c:v>
                </c:pt>
                <c:pt idx="16">
                  <c:v>0.1296618064435556</c:v>
                </c:pt>
                <c:pt idx="17">
                  <c:v>0.13776945854203296</c:v>
                </c:pt>
                <c:pt idx="18">
                  <c:v>0.14587744006132014</c:v>
                </c:pt>
                <c:pt idx="19">
                  <c:v>0.15398574171259816</c:v>
                </c:pt>
                <c:pt idx="20">
                  <c:v>0.16209435495130523</c:v>
                </c:pt>
                <c:pt idx="21">
                  <c:v>0.17020327188273807</c:v>
                </c:pt>
                <c:pt idx="22">
                  <c:v>0.17831248518361342</c:v>
                </c:pt>
                <c:pt idx="23">
                  <c:v>0.18642198803627991</c:v>
                </c:pt>
                <c:pt idx="24">
                  <c:v>0.19453177407307076</c:v>
                </c:pt>
                <c:pt idx="25">
                  <c:v>0.20264183732887214</c:v>
                </c:pt>
                <c:pt idx="26">
                  <c:v>0.21075217220040987</c:v>
                </c:pt>
                <c:pt idx="27">
                  <c:v>0.21886277341107907</c:v>
                </c:pt>
                <c:pt idx="28">
                  <c:v>0.22697363598038098</c:v>
                </c:pt>
                <c:pt idx="29">
                  <c:v>0.23513524410698075</c:v>
                </c:pt>
                <c:pt idx="30">
                  <c:v>0.24325047918843865</c:v>
                </c:pt>
                <c:pt idx="31">
                  <c:v>0.25136634527126844</c:v>
                </c:pt>
                <c:pt idx="32">
                  <c:v>0.25948284235546987</c:v>
                </c:pt>
                <c:pt idx="33">
                  <c:v>0.26759997044104306</c:v>
                </c:pt>
                <c:pt idx="34">
                  <c:v>0.27571772952798801</c:v>
                </c:pt>
                <c:pt idx="35">
                  <c:v>0.28383611961630467</c:v>
                </c:pt>
                <c:pt idx="36">
                  <c:v>0.2919551407059931</c:v>
                </c:pt>
                <c:pt idx="37">
                  <c:v>0.30007479279705329</c:v>
                </c:pt>
                <c:pt idx="38">
                  <c:v>0.30819507588948525</c:v>
                </c:pt>
                <c:pt idx="39">
                  <c:v>0.31631598998328886</c:v>
                </c:pt>
                <c:pt idx="40">
                  <c:v>0.32443753507846423</c:v>
                </c:pt>
                <c:pt idx="41">
                  <c:v>0.33255971117501137</c:v>
                </c:pt>
                <c:pt idx="42">
                  <c:v>0.34068251827293033</c:v>
                </c:pt>
                <c:pt idx="43">
                  <c:v>0.34880595637222089</c:v>
                </c:pt>
                <c:pt idx="44">
                  <c:v>0.35693002547288333</c:v>
                </c:pt>
                <c:pt idx="45">
                  <c:v>0.36505472557491747</c:v>
                </c:pt>
                <c:pt idx="46">
                  <c:v>0.37318005667832327</c:v>
                </c:pt>
                <c:pt idx="47">
                  <c:v>0.38130601878310078</c:v>
                </c:pt>
                <c:pt idx="48">
                  <c:v>0.38943261188925021</c:v>
                </c:pt>
                <c:pt idx="49">
                  <c:v>0.39755983599677125</c:v>
                </c:pt>
                <c:pt idx="50">
                  <c:v>0.40568769110566416</c:v>
                </c:pt>
                <c:pt idx="51">
                  <c:v>0.41381617721592867</c:v>
                </c:pt>
                <c:pt idx="52">
                  <c:v>0.42194529432756489</c:v>
                </c:pt>
                <c:pt idx="53">
                  <c:v>0.43007504244057293</c:v>
                </c:pt>
                <c:pt idx="54">
                  <c:v>0.43820542155495279</c:v>
                </c:pt>
                <c:pt idx="55">
                  <c:v>0.44633643167070425</c:v>
                </c:pt>
                <c:pt idx="56">
                  <c:v>0.45446807278782758</c:v>
                </c:pt>
                <c:pt idx="57">
                  <c:v>0.46260034490632257</c:v>
                </c:pt>
                <c:pt idx="58">
                  <c:v>0.47073324802618943</c:v>
                </c:pt>
                <c:pt idx="59">
                  <c:v>0.47886678214742784</c:v>
                </c:pt>
                <c:pt idx="60">
                  <c:v>0.48700094727003801</c:v>
                </c:pt>
                <c:pt idx="61">
                  <c:v>0.49513574339402011</c:v>
                </c:pt>
                <c:pt idx="62">
                  <c:v>0.50327117051937387</c:v>
                </c:pt>
                <c:pt idx="63">
                  <c:v>0.51140722864609922</c:v>
                </c:pt>
                <c:pt idx="64">
                  <c:v>0.51954391777419651</c:v>
                </c:pt>
                <c:pt idx="65">
                  <c:v>0.5276812379036655</c:v>
                </c:pt>
                <c:pt idx="66">
                  <c:v>0.53581918903450609</c:v>
                </c:pt>
                <c:pt idx="67">
                  <c:v>0.54395777116671862</c:v>
                </c:pt>
                <c:pt idx="68">
                  <c:v>0.55209698430030274</c:v>
                </c:pt>
                <c:pt idx="69">
                  <c:v>0.56023682843525868</c:v>
                </c:pt>
                <c:pt idx="70">
                  <c:v>0.56837730357158633</c:v>
                </c:pt>
                <c:pt idx="71">
                  <c:v>0.5765184097092857</c:v>
                </c:pt>
                <c:pt idx="72">
                  <c:v>0.58466014684835688</c:v>
                </c:pt>
                <c:pt idx="73">
                  <c:v>0.59280251498879988</c:v>
                </c:pt>
                <c:pt idx="74">
                  <c:v>0.60094551413061437</c:v>
                </c:pt>
                <c:pt idx="75">
                  <c:v>0.60908914427380068</c:v>
                </c:pt>
                <c:pt idx="76">
                  <c:v>0.61723340541835892</c:v>
                </c:pt>
                <c:pt idx="77">
                  <c:v>0.62537829756428864</c:v>
                </c:pt>
                <c:pt idx="78">
                  <c:v>0.6335238207115903</c:v>
                </c:pt>
                <c:pt idx="79">
                  <c:v>0.64166997486026378</c:v>
                </c:pt>
                <c:pt idx="80">
                  <c:v>0.64981676001030875</c:v>
                </c:pt>
                <c:pt idx="81">
                  <c:v>0.65796417616172576</c:v>
                </c:pt>
                <c:pt idx="82">
                  <c:v>0.66611222331451414</c:v>
                </c:pt>
                <c:pt idx="83">
                  <c:v>0.67426090146867446</c:v>
                </c:pt>
                <c:pt idx="84">
                  <c:v>0.68241021062420659</c:v>
                </c:pt>
                <c:pt idx="85">
                  <c:v>0.69056015078111022</c:v>
                </c:pt>
                <c:pt idx="86">
                  <c:v>0.69871072193938577</c:v>
                </c:pt>
                <c:pt idx="87">
                  <c:v>0.70686192409903315</c:v>
                </c:pt>
                <c:pt idx="88">
                  <c:v>0.71501375726005223</c:v>
                </c:pt>
                <c:pt idx="89">
                  <c:v>0.72316622142244291</c:v>
                </c:pt>
                <c:pt idx="90">
                  <c:v>0.73131931658620553</c:v>
                </c:pt>
                <c:pt idx="91">
                  <c:v>0.73947304275133963</c:v>
                </c:pt>
                <c:pt idx="92">
                  <c:v>0.74762739991784566</c:v>
                </c:pt>
                <c:pt idx="93">
                  <c:v>0.7557823880857234</c:v>
                </c:pt>
                <c:pt idx="94">
                  <c:v>0.76393800725497274</c:v>
                </c:pt>
                <c:pt idx="95">
                  <c:v>0.77209425742559412</c:v>
                </c:pt>
                <c:pt idx="96">
                  <c:v>0.7802511385975871</c:v>
                </c:pt>
                <c:pt idx="97">
                  <c:v>0.78840865077095168</c:v>
                </c:pt>
                <c:pt idx="98">
                  <c:v>0.79656679394568819</c:v>
                </c:pt>
                <c:pt idx="99">
                  <c:v>0.80472556812179641</c:v>
                </c:pt>
                <c:pt idx="100">
                  <c:v>0.81288497329927645</c:v>
                </c:pt>
                <c:pt idx="101">
                  <c:v>0.82104500947812786</c:v>
                </c:pt>
                <c:pt idx="102">
                  <c:v>0.82920567665835143</c:v>
                </c:pt>
                <c:pt idx="103">
                  <c:v>0.83736697483994638</c:v>
                </c:pt>
                <c:pt idx="104">
                  <c:v>0.84552890402291325</c:v>
                </c:pt>
                <c:pt idx="105">
                  <c:v>0.85369146420725217</c:v>
                </c:pt>
                <c:pt idx="106">
                  <c:v>0.86185465539296235</c:v>
                </c:pt>
                <c:pt idx="107">
                  <c:v>0.87001847758004458</c:v>
                </c:pt>
                <c:pt idx="108">
                  <c:v>0.8781829307684984</c:v>
                </c:pt>
                <c:pt idx="109">
                  <c:v>0.88634801495832405</c:v>
                </c:pt>
                <c:pt idx="110">
                  <c:v>0.89451373014952129</c:v>
                </c:pt>
                <c:pt idx="111">
                  <c:v>0.90268007634209046</c:v>
                </c:pt>
                <c:pt idx="112">
                  <c:v>0.91084705353603124</c:v>
                </c:pt>
                <c:pt idx="113">
                  <c:v>0.91901466173134383</c:v>
                </c:pt>
                <c:pt idx="114">
                  <c:v>0.92718290092802813</c:v>
                </c:pt>
                <c:pt idx="115">
                  <c:v>0.93535177112608403</c:v>
                </c:pt>
                <c:pt idx="116">
                  <c:v>0.94352127232551219</c:v>
                </c:pt>
                <c:pt idx="117">
                  <c:v>0.95169140452631151</c:v>
                </c:pt>
                <c:pt idx="118">
                  <c:v>0.95986216772848287</c:v>
                </c:pt>
                <c:pt idx="119">
                  <c:v>0.96803356193202594</c:v>
                </c:pt>
                <c:pt idx="120">
                  <c:v>0.9762055871369405</c:v>
                </c:pt>
                <c:pt idx="121">
                  <c:v>0.98437824334322721</c:v>
                </c:pt>
                <c:pt idx="122">
                  <c:v>0.99255153055088552</c:v>
                </c:pt>
                <c:pt idx="123">
                  <c:v>1.0007254487599153</c:v>
                </c:pt>
                <c:pt idx="124">
                  <c:v>1.0088999979703173</c:v>
                </c:pt>
                <c:pt idx="125">
                  <c:v>1.0170751781820906</c:v>
                </c:pt>
                <c:pt idx="126">
                  <c:v>1.0252509893952357</c:v>
                </c:pt>
                <c:pt idx="127">
                  <c:v>1.0334274316097525</c:v>
                </c:pt>
                <c:pt idx="128">
                  <c:v>1.0416045048256415</c:v>
                </c:pt>
                <c:pt idx="129">
                  <c:v>1.0497822090429021</c:v>
                </c:pt>
                <c:pt idx="130">
                  <c:v>1.0579605442615343</c:v>
                </c:pt>
                <c:pt idx="131">
                  <c:v>1.0661395104815381</c:v>
                </c:pt>
                <c:pt idx="132">
                  <c:v>1.0743191077029137</c:v>
                </c:pt>
                <c:pt idx="133">
                  <c:v>1.0824993359256612</c:v>
                </c:pt>
                <c:pt idx="134">
                  <c:v>1.0906801951497804</c:v>
                </c:pt>
                <c:pt idx="135">
                  <c:v>1.0988616853752711</c:v>
                </c:pt>
                <c:pt idx="136">
                  <c:v>1.1070438066021338</c:v>
                </c:pt>
                <c:pt idx="137">
                  <c:v>1.1152265588303683</c:v>
                </c:pt>
                <c:pt idx="138">
                  <c:v>1.1234099420599744</c:v>
                </c:pt>
                <c:pt idx="139">
                  <c:v>1.1315939562909525</c:v>
                </c:pt>
                <c:pt idx="140">
                  <c:v>1.1397786015233018</c:v>
                </c:pt>
                <c:pt idx="141">
                  <c:v>1.1479638777570231</c:v>
                </c:pt>
                <c:pt idx="142">
                  <c:v>1.1561497849921163</c:v>
                </c:pt>
                <c:pt idx="143">
                  <c:v>1.1643363232285813</c:v>
                </c:pt>
                <c:pt idx="144">
                  <c:v>1.1725234924664176</c:v>
                </c:pt>
                <c:pt idx="145">
                  <c:v>1.180711292705626</c:v>
                </c:pt>
                <c:pt idx="146">
                  <c:v>1.1888997239462062</c:v>
                </c:pt>
                <c:pt idx="147">
                  <c:v>1.1970887861881578</c:v>
                </c:pt>
                <c:pt idx="148">
                  <c:v>1.2052784794314815</c:v>
                </c:pt>
                <c:pt idx="149">
                  <c:v>1.2134688036761767</c:v>
                </c:pt>
                <c:pt idx="150">
                  <c:v>1.2216597589222438</c:v>
                </c:pt>
              </c:numCache>
            </c:numRef>
          </c:yVal>
          <c:smooth val="1"/>
          <c:extLst>
            <c:ext xmlns:c16="http://schemas.microsoft.com/office/drawing/2014/chart" uri="{C3380CC4-5D6E-409C-BE32-E72D297353CC}">
              <c16:uniqueId val="{00000001-D428-476F-9D9B-414A5D21B4D3}"/>
            </c:ext>
          </c:extLst>
        </c:ser>
        <c:ser>
          <c:idx val="2"/>
          <c:order val="2"/>
          <c:tx>
            <c:v>Diode</c:v>
          </c:tx>
          <c:spPr>
            <a:ln>
              <a:solidFill>
                <a:schemeClr val="bg2">
                  <a:lumMod val="50000"/>
                </a:schemeClr>
              </a:solidFill>
              <a:prstDash val="sysDash"/>
            </a:ln>
          </c:spPr>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Eff_vs_IOUT!$AN$7:$AN$157</c:f>
              <c:numCache>
                <c:formatCode>General</c:formatCode>
                <c:ptCount val="151"/>
                <c:pt idx="0">
                  <c:v>0.22935</c:v>
                </c:pt>
                <c:pt idx="1">
                  <c:v>0.23708333333333334</c:v>
                </c:pt>
                <c:pt idx="2">
                  <c:v>0.24481666666666665</c:v>
                </c:pt>
                <c:pt idx="3">
                  <c:v>0.25255</c:v>
                </c:pt>
                <c:pt idx="4">
                  <c:v>0.26028333333333331</c:v>
                </c:pt>
                <c:pt idx="5">
                  <c:v>0.26801666666666668</c:v>
                </c:pt>
                <c:pt idx="6">
                  <c:v>0.27575</c:v>
                </c:pt>
                <c:pt idx="7">
                  <c:v>0.28348333333333331</c:v>
                </c:pt>
                <c:pt idx="8">
                  <c:v>0.29121666666666668</c:v>
                </c:pt>
                <c:pt idx="9">
                  <c:v>0.29894999999999999</c:v>
                </c:pt>
                <c:pt idx="10">
                  <c:v>0.30668333333333331</c:v>
                </c:pt>
                <c:pt idx="11">
                  <c:v>0.31441666666666668</c:v>
                </c:pt>
                <c:pt idx="12">
                  <c:v>0.32214999999999999</c:v>
                </c:pt>
                <c:pt idx="13">
                  <c:v>0.32988333333333331</c:v>
                </c:pt>
                <c:pt idx="14">
                  <c:v>0.33761666666666668</c:v>
                </c:pt>
                <c:pt idx="15">
                  <c:v>0.34534999999999999</c:v>
                </c:pt>
                <c:pt idx="16">
                  <c:v>0.3530833333333333</c:v>
                </c:pt>
                <c:pt idx="17">
                  <c:v>0.36081666666666667</c:v>
                </c:pt>
                <c:pt idx="18">
                  <c:v>0.36854999999999999</c:v>
                </c:pt>
                <c:pt idx="19">
                  <c:v>0.3762833333333333</c:v>
                </c:pt>
                <c:pt idx="20">
                  <c:v>0.38401666666666667</c:v>
                </c:pt>
                <c:pt idx="21">
                  <c:v>0.39175000000000004</c:v>
                </c:pt>
                <c:pt idx="22">
                  <c:v>0.3994833333333333</c:v>
                </c:pt>
                <c:pt idx="23">
                  <c:v>0.40721666666666667</c:v>
                </c:pt>
                <c:pt idx="24">
                  <c:v>0.41494999999999999</c:v>
                </c:pt>
                <c:pt idx="25">
                  <c:v>0.4226833333333333</c:v>
                </c:pt>
                <c:pt idx="26">
                  <c:v>0.43041666666666667</c:v>
                </c:pt>
                <c:pt idx="27">
                  <c:v>0.43815000000000004</c:v>
                </c:pt>
                <c:pt idx="28">
                  <c:v>0.4458833333333333</c:v>
                </c:pt>
                <c:pt idx="29">
                  <c:v>0.45361666666666667</c:v>
                </c:pt>
                <c:pt idx="30">
                  <c:v>0.46134999999999998</c:v>
                </c:pt>
                <c:pt idx="31">
                  <c:v>0.46908333333333335</c:v>
                </c:pt>
                <c:pt idx="32">
                  <c:v>0.47681666666666667</c:v>
                </c:pt>
                <c:pt idx="33">
                  <c:v>0.48454999999999998</c:v>
                </c:pt>
                <c:pt idx="34">
                  <c:v>0.49228333333333335</c:v>
                </c:pt>
                <c:pt idx="35">
                  <c:v>0.50001666666666666</c:v>
                </c:pt>
                <c:pt idx="36">
                  <c:v>0.50774999999999992</c:v>
                </c:pt>
                <c:pt idx="37">
                  <c:v>0.51548333333333329</c:v>
                </c:pt>
                <c:pt idx="38">
                  <c:v>0.52321666666666666</c:v>
                </c:pt>
                <c:pt idx="39">
                  <c:v>0.53095000000000003</c:v>
                </c:pt>
                <c:pt idx="40">
                  <c:v>0.53868333333333329</c:v>
                </c:pt>
                <c:pt idx="41">
                  <c:v>0.54641666666666666</c:v>
                </c:pt>
                <c:pt idx="42">
                  <c:v>0.55415000000000003</c:v>
                </c:pt>
                <c:pt idx="43">
                  <c:v>0.56188333333333329</c:v>
                </c:pt>
                <c:pt idx="44">
                  <c:v>0.56961666666666666</c:v>
                </c:pt>
                <c:pt idx="45">
                  <c:v>0.57735000000000003</c:v>
                </c:pt>
                <c:pt idx="46">
                  <c:v>0.5850833333333334</c:v>
                </c:pt>
                <c:pt idx="47">
                  <c:v>0.59281666666666666</c:v>
                </c:pt>
                <c:pt idx="48">
                  <c:v>0.60054999999999992</c:v>
                </c:pt>
                <c:pt idx="49">
                  <c:v>0.60828333333333329</c:v>
                </c:pt>
                <c:pt idx="50">
                  <c:v>0.61601666666666666</c:v>
                </c:pt>
                <c:pt idx="51">
                  <c:v>0.62375000000000003</c:v>
                </c:pt>
                <c:pt idx="52">
                  <c:v>0.6314833333333334</c:v>
                </c:pt>
                <c:pt idx="53">
                  <c:v>0.63921666666666666</c:v>
                </c:pt>
                <c:pt idx="54">
                  <c:v>0.64695000000000003</c:v>
                </c:pt>
                <c:pt idx="55">
                  <c:v>0.65468333333333328</c:v>
                </c:pt>
                <c:pt idx="56">
                  <c:v>0.66241666666666665</c:v>
                </c:pt>
                <c:pt idx="57">
                  <c:v>0.67015000000000002</c:v>
                </c:pt>
                <c:pt idx="58">
                  <c:v>0.67788333333333339</c:v>
                </c:pt>
                <c:pt idx="59">
                  <c:v>0.68561666666666665</c:v>
                </c:pt>
                <c:pt idx="60">
                  <c:v>0.69334999999999991</c:v>
                </c:pt>
                <c:pt idx="61">
                  <c:v>0.70108333333333328</c:v>
                </c:pt>
                <c:pt idx="62">
                  <c:v>0.70881666666666665</c:v>
                </c:pt>
                <c:pt idx="63">
                  <c:v>0.71655000000000002</c:v>
                </c:pt>
                <c:pt idx="64">
                  <c:v>0.72428333333333339</c:v>
                </c:pt>
                <c:pt idx="65">
                  <c:v>0.73201666666666654</c:v>
                </c:pt>
                <c:pt idx="66">
                  <c:v>0.73974999999999991</c:v>
                </c:pt>
                <c:pt idx="67">
                  <c:v>0.74748333333333328</c:v>
                </c:pt>
                <c:pt idx="68">
                  <c:v>0.75521666666666665</c:v>
                </c:pt>
                <c:pt idx="69">
                  <c:v>0.76295000000000002</c:v>
                </c:pt>
                <c:pt idx="70">
                  <c:v>0.77068333333333339</c:v>
                </c:pt>
                <c:pt idx="71">
                  <c:v>0.77841666666666676</c:v>
                </c:pt>
                <c:pt idx="72">
                  <c:v>0.7861499999999999</c:v>
                </c:pt>
                <c:pt idx="73">
                  <c:v>0.79388333333333327</c:v>
                </c:pt>
                <c:pt idx="74">
                  <c:v>0.80161666666666664</c:v>
                </c:pt>
                <c:pt idx="75">
                  <c:v>0.80935000000000001</c:v>
                </c:pt>
                <c:pt idx="76">
                  <c:v>0.81708333333333338</c:v>
                </c:pt>
                <c:pt idx="77">
                  <c:v>0.82481666666666675</c:v>
                </c:pt>
                <c:pt idx="78">
                  <c:v>0.8325499999999999</c:v>
                </c:pt>
                <c:pt idx="79">
                  <c:v>0.84028333333333327</c:v>
                </c:pt>
                <c:pt idx="80">
                  <c:v>0.84801666666666664</c:v>
                </c:pt>
                <c:pt idx="81">
                  <c:v>0.85575000000000001</c:v>
                </c:pt>
                <c:pt idx="82">
                  <c:v>0.86348333333333338</c:v>
                </c:pt>
                <c:pt idx="83">
                  <c:v>0.87121666666666653</c:v>
                </c:pt>
                <c:pt idx="84">
                  <c:v>0.87895000000000012</c:v>
                </c:pt>
                <c:pt idx="85">
                  <c:v>0.88668333333333327</c:v>
                </c:pt>
                <c:pt idx="86">
                  <c:v>0.89441666666666664</c:v>
                </c:pt>
                <c:pt idx="87">
                  <c:v>0.90215000000000001</c:v>
                </c:pt>
                <c:pt idx="88">
                  <c:v>0.90988333333333338</c:v>
                </c:pt>
                <c:pt idx="89">
                  <c:v>0.91761666666666675</c:v>
                </c:pt>
                <c:pt idx="90">
                  <c:v>0.92535000000000012</c:v>
                </c:pt>
                <c:pt idx="91">
                  <c:v>0.93308333333333326</c:v>
                </c:pt>
                <c:pt idx="92">
                  <c:v>0.94081666666666663</c:v>
                </c:pt>
                <c:pt idx="93">
                  <c:v>0.94855</c:v>
                </c:pt>
                <c:pt idx="94">
                  <c:v>0.95628333333333337</c:v>
                </c:pt>
                <c:pt idx="95">
                  <c:v>0.96401666666666674</c:v>
                </c:pt>
                <c:pt idx="96">
                  <c:v>0.97174999999999989</c:v>
                </c:pt>
                <c:pt idx="97">
                  <c:v>0.97948333333333326</c:v>
                </c:pt>
                <c:pt idx="98">
                  <c:v>0.98721666666666663</c:v>
                </c:pt>
                <c:pt idx="99">
                  <c:v>0.99495</c:v>
                </c:pt>
                <c:pt idx="100">
                  <c:v>1.0026833333333334</c:v>
                </c:pt>
                <c:pt idx="101">
                  <c:v>1.0104166666666665</c:v>
                </c:pt>
                <c:pt idx="102">
                  <c:v>1.0181500000000001</c:v>
                </c:pt>
                <c:pt idx="103">
                  <c:v>1.0258833333333335</c:v>
                </c:pt>
                <c:pt idx="104">
                  <c:v>1.0336166666666666</c:v>
                </c:pt>
                <c:pt idx="105">
                  <c:v>1.04135</c:v>
                </c:pt>
                <c:pt idx="106">
                  <c:v>1.0490833333333334</c:v>
                </c:pt>
                <c:pt idx="107">
                  <c:v>1.0568166666666667</c:v>
                </c:pt>
                <c:pt idx="108">
                  <c:v>1.0645500000000001</c:v>
                </c:pt>
                <c:pt idx="109">
                  <c:v>1.0722833333333333</c:v>
                </c:pt>
                <c:pt idx="110">
                  <c:v>1.0800166666666666</c:v>
                </c:pt>
                <c:pt idx="111">
                  <c:v>1.08775</c:v>
                </c:pt>
                <c:pt idx="112">
                  <c:v>1.0954833333333334</c:v>
                </c:pt>
                <c:pt idx="113">
                  <c:v>1.1032166666666667</c:v>
                </c:pt>
                <c:pt idx="114">
                  <c:v>1.1109499999999999</c:v>
                </c:pt>
                <c:pt idx="115">
                  <c:v>1.1186833333333333</c:v>
                </c:pt>
                <c:pt idx="116">
                  <c:v>1.1264166666666666</c:v>
                </c:pt>
                <c:pt idx="117">
                  <c:v>1.13415</c:v>
                </c:pt>
                <c:pt idx="118">
                  <c:v>1.1418833333333334</c:v>
                </c:pt>
                <c:pt idx="119">
                  <c:v>1.1496166666666665</c:v>
                </c:pt>
                <c:pt idx="120">
                  <c:v>1.1573499999999999</c:v>
                </c:pt>
                <c:pt idx="121">
                  <c:v>1.1650833333333335</c:v>
                </c:pt>
                <c:pt idx="122">
                  <c:v>1.1728166666666666</c:v>
                </c:pt>
                <c:pt idx="123">
                  <c:v>1.18055</c:v>
                </c:pt>
                <c:pt idx="124">
                  <c:v>1.1882833333333334</c:v>
                </c:pt>
                <c:pt idx="125">
                  <c:v>1.1960166666666667</c:v>
                </c:pt>
                <c:pt idx="126">
                  <c:v>1.2037500000000001</c:v>
                </c:pt>
                <c:pt idx="127">
                  <c:v>1.2114833333333332</c:v>
                </c:pt>
                <c:pt idx="128">
                  <c:v>1.2192166666666666</c:v>
                </c:pt>
                <c:pt idx="129">
                  <c:v>1.22695</c:v>
                </c:pt>
                <c:pt idx="130">
                  <c:v>1.2346833333333331</c:v>
                </c:pt>
                <c:pt idx="131">
                  <c:v>1.2424166666666667</c:v>
                </c:pt>
                <c:pt idx="132">
                  <c:v>1.2501499999999999</c:v>
                </c:pt>
                <c:pt idx="133">
                  <c:v>1.2578833333333332</c:v>
                </c:pt>
                <c:pt idx="134">
                  <c:v>1.2656166666666666</c:v>
                </c:pt>
                <c:pt idx="135">
                  <c:v>1.27335</c:v>
                </c:pt>
                <c:pt idx="136">
                  <c:v>1.2810833333333334</c:v>
                </c:pt>
                <c:pt idx="137">
                  <c:v>1.2888166666666667</c:v>
                </c:pt>
                <c:pt idx="138">
                  <c:v>1.2965499999999999</c:v>
                </c:pt>
                <c:pt idx="139">
                  <c:v>1.3042833333333332</c:v>
                </c:pt>
                <c:pt idx="140">
                  <c:v>1.3120166666666666</c:v>
                </c:pt>
                <c:pt idx="141">
                  <c:v>1.31975</c:v>
                </c:pt>
                <c:pt idx="142">
                  <c:v>1.3274833333333333</c:v>
                </c:pt>
                <c:pt idx="143">
                  <c:v>1.3352166666666665</c:v>
                </c:pt>
                <c:pt idx="144">
                  <c:v>1.3429499999999999</c:v>
                </c:pt>
                <c:pt idx="145">
                  <c:v>1.3506833333333332</c:v>
                </c:pt>
                <c:pt idx="146">
                  <c:v>1.3584166666666666</c:v>
                </c:pt>
                <c:pt idx="147">
                  <c:v>1.36615</c:v>
                </c:pt>
                <c:pt idx="148">
                  <c:v>1.3738833333333331</c:v>
                </c:pt>
                <c:pt idx="149">
                  <c:v>1.3816166666666667</c:v>
                </c:pt>
                <c:pt idx="150">
                  <c:v>1.3893499999999999</c:v>
                </c:pt>
              </c:numCache>
            </c:numRef>
          </c:yVal>
          <c:smooth val="1"/>
          <c:extLst>
            <c:ext xmlns:c16="http://schemas.microsoft.com/office/drawing/2014/chart" uri="{C3380CC4-5D6E-409C-BE32-E72D297353CC}">
              <c16:uniqueId val="{00000002-D428-476F-9D9B-414A5D21B4D3}"/>
            </c:ext>
          </c:extLst>
        </c:ser>
        <c:ser>
          <c:idx val="3"/>
          <c:order val="3"/>
          <c:tx>
            <c:v>RCS</c:v>
          </c:tx>
          <c:spPr>
            <a:ln>
              <a:solidFill>
                <a:schemeClr val="accent5">
                  <a:lumMod val="75000"/>
                </a:schemeClr>
              </a:solidFill>
              <a:prstDash val="lgDashDotDot"/>
            </a:ln>
          </c:spPr>
          <c:marker>
            <c:symbol val="none"/>
          </c:marker>
          <c:xVal>
            <c:numRef>
              <c:f>Eff_vs_IOUT!$S$7:$S$157</c:f>
              <c:numCache>
                <c:formatCode>General</c:formatCode>
                <c:ptCount val="151"/>
                <c:pt idx="0">
                  <c:v>0</c:v>
                </c:pt>
                <c:pt idx="1">
                  <c:v>1.3333333333333334E-2</c:v>
                </c:pt>
                <c:pt idx="2">
                  <c:v>2.6666666666666668E-2</c:v>
                </c:pt>
                <c:pt idx="3">
                  <c:v>0.04</c:v>
                </c:pt>
                <c:pt idx="4">
                  <c:v>5.3333333333333337E-2</c:v>
                </c:pt>
                <c:pt idx="5">
                  <c:v>6.6666666666666666E-2</c:v>
                </c:pt>
                <c:pt idx="6">
                  <c:v>0.08</c:v>
                </c:pt>
                <c:pt idx="7">
                  <c:v>9.3333333333333338E-2</c:v>
                </c:pt>
                <c:pt idx="8">
                  <c:v>0.10666666666666667</c:v>
                </c:pt>
                <c:pt idx="9">
                  <c:v>0.12000000000000001</c:v>
                </c:pt>
                <c:pt idx="10">
                  <c:v>0.13333333333333333</c:v>
                </c:pt>
                <c:pt idx="11">
                  <c:v>0.14666666666666667</c:v>
                </c:pt>
                <c:pt idx="12">
                  <c:v>0.16</c:v>
                </c:pt>
                <c:pt idx="13">
                  <c:v>0.17333333333333334</c:v>
                </c:pt>
                <c:pt idx="14">
                  <c:v>0.18666666666666668</c:v>
                </c:pt>
                <c:pt idx="15">
                  <c:v>0.2</c:v>
                </c:pt>
                <c:pt idx="16">
                  <c:v>0.21333333333333335</c:v>
                </c:pt>
                <c:pt idx="17">
                  <c:v>0.22666666666666668</c:v>
                </c:pt>
                <c:pt idx="18">
                  <c:v>0.24000000000000002</c:v>
                </c:pt>
                <c:pt idx="19">
                  <c:v>0.25333333333333335</c:v>
                </c:pt>
                <c:pt idx="20">
                  <c:v>0.26666666666666666</c:v>
                </c:pt>
                <c:pt idx="21">
                  <c:v>0.28000000000000003</c:v>
                </c:pt>
                <c:pt idx="22">
                  <c:v>0.29333333333333333</c:v>
                </c:pt>
                <c:pt idx="23">
                  <c:v>0.3066666666666667</c:v>
                </c:pt>
                <c:pt idx="24">
                  <c:v>0.32</c:v>
                </c:pt>
                <c:pt idx="25">
                  <c:v>0.33333333333333337</c:v>
                </c:pt>
                <c:pt idx="26">
                  <c:v>0.34666666666666668</c:v>
                </c:pt>
                <c:pt idx="27">
                  <c:v>0.36000000000000004</c:v>
                </c:pt>
                <c:pt idx="28">
                  <c:v>0.37333333333333335</c:v>
                </c:pt>
                <c:pt idx="29">
                  <c:v>0.38666666666666671</c:v>
                </c:pt>
                <c:pt idx="30">
                  <c:v>0.4</c:v>
                </c:pt>
                <c:pt idx="31">
                  <c:v>0.41333333333333339</c:v>
                </c:pt>
                <c:pt idx="32">
                  <c:v>0.42666666666666669</c:v>
                </c:pt>
                <c:pt idx="33">
                  <c:v>0.44</c:v>
                </c:pt>
                <c:pt idx="34">
                  <c:v>0.45333333333333337</c:v>
                </c:pt>
                <c:pt idx="35">
                  <c:v>0.46666666666666667</c:v>
                </c:pt>
                <c:pt idx="36">
                  <c:v>0.48000000000000004</c:v>
                </c:pt>
                <c:pt idx="37">
                  <c:v>0.49333333333333335</c:v>
                </c:pt>
                <c:pt idx="38">
                  <c:v>0.50666666666666671</c:v>
                </c:pt>
                <c:pt idx="39">
                  <c:v>0.52</c:v>
                </c:pt>
                <c:pt idx="40">
                  <c:v>0.53333333333333333</c:v>
                </c:pt>
                <c:pt idx="41">
                  <c:v>0.54666666666666675</c:v>
                </c:pt>
                <c:pt idx="42">
                  <c:v>0.56000000000000005</c:v>
                </c:pt>
                <c:pt idx="43">
                  <c:v>0.57333333333333336</c:v>
                </c:pt>
                <c:pt idx="44">
                  <c:v>0.58666666666666667</c:v>
                </c:pt>
                <c:pt idx="45">
                  <c:v>0.60000000000000009</c:v>
                </c:pt>
                <c:pt idx="46">
                  <c:v>0.6133333333333334</c:v>
                </c:pt>
                <c:pt idx="47">
                  <c:v>0.62666666666666671</c:v>
                </c:pt>
                <c:pt idx="48">
                  <c:v>0.64</c:v>
                </c:pt>
                <c:pt idx="49">
                  <c:v>0.65333333333333332</c:v>
                </c:pt>
                <c:pt idx="50">
                  <c:v>0.66666666666666674</c:v>
                </c:pt>
                <c:pt idx="51">
                  <c:v>0.68</c:v>
                </c:pt>
                <c:pt idx="52">
                  <c:v>0.69333333333333336</c:v>
                </c:pt>
                <c:pt idx="53">
                  <c:v>0.70666666666666667</c:v>
                </c:pt>
                <c:pt idx="54">
                  <c:v>0.72000000000000008</c:v>
                </c:pt>
                <c:pt idx="55">
                  <c:v>0.73333333333333339</c:v>
                </c:pt>
                <c:pt idx="56">
                  <c:v>0.7466666666666667</c:v>
                </c:pt>
                <c:pt idx="57">
                  <c:v>0.76</c:v>
                </c:pt>
                <c:pt idx="58">
                  <c:v>0.77333333333333343</c:v>
                </c:pt>
                <c:pt idx="59">
                  <c:v>0.78666666666666674</c:v>
                </c:pt>
                <c:pt idx="60">
                  <c:v>0.8</c:v>
                </c:pt>
                <c:pt idx="61">
                  <c:v>0.81333333333333335</c:v>
                </c:pt>
                <c:pt idx="62">
                  <c:v>0.82666666666666677</c:v>
                </c:pt>
                <c:pt idx="63">
                  <c:v>0.84000000000000008</c:v>
                </c:pt>
                <c:pt idx="64">
                  <c:v>0.85333333333333339</c:v>
                </c:pt>
                <c:pt idx="65">
                  <c:v>0.8666666666666667</c:v>
                </c:pt>
                <c:pt idx="66">
                  <c:v>0.88</c:v>
                </c:pt>
                <c:pt idx="67">
                  <c:v>0.89333333333333342</c:v>
                </c:pt>
                <c:pt idx="68">
                  <c:v>0.90666666666666673</c:v>
                </c:pt>
                <c:pt idx="69">
                  <c:v>0.92</c:v>
                </c:pt>
                <c:pt idx="70">
                  <c:v>0.93333333333333335</c:v>
                </c:pt>
                <c:pt idx="71">
                  <c:v>0.94666666666666677</c:v>
                </c:pt>
                <c:pt idx="72">
                  <c:v>0.96000000000000008</c:v>
                </c:pt>
                <c:pt idx="73">
                  <c:v>0.97333333333333338</c:v>
                </c:pt>
                <c:pt idx="74">
                  <c:v>0.98666666666666669</c:v>
                </c:pt>
                <c:pt idx="75">
                  <c:v>1</c:v>
                </c:pt>
                <c:pt idx="76">
                  <c:v>1.0133333333333334</c:v>
                </c:pt>
                <c:pt idx="77">
                  <c:v>1.0266666666666668</c:v>
                </c:pt>
                <c:pt idx="78">
                  <c:v>1.04</c:v>
                </c:pt>
                <c:pt idx="79">
                  <c:v>1.0533333333333335</c:v>
                </c:pt>
                <c:pt idx="80">
                  <c:v>1.0666666666666667</c:v>
                </c:pt>
                <c:pt idx="81">
                  <c:v>1.08</c:v>
                </c:pt>
                <c:pt idx="82">
                  <c:v>1.0933333333333335</c:v>
                </c:pt>
                <c:pt idx="83">
                  <c:v>1.1066666666666667</c:v>
                </c:pt>
                <c:pt idx="84">
                  <c:v>1.1200000000000001</c:v>
                </c:pt>
                <c:pt idx="85">
                  <c:v>1.1333333333333333</c:v>
                </c:pt>
                <c:pt idx="86">
                  <c:v>1.1466666666666667</c:v>
                </c:pt>
                <c:pt idx="87">
                  <c:v>1.1600000000000001</c:v>
                </c:pt>
                <c:pt idx="88">
                  <c:v>1.1733333333333333</c:v>
                </c:pt>
                <c:pt idx="89">
                  <c:v>1.1866666666666668</c:v>
                </c:pt>
                <c:pt idx="90">
                  <c:v>1.2000000000000002</c:v>
                </c:pt>
                <c:pt idx="91">
                  <c:v>1.2133333333333334</c:v>
                </c:pt>
                <c:pt idx="92">
                  <c:v>1.2266666666666668</c:v>
                </c:pt>
                <c:pt idx="93">
                  <c:v>1.24</c:v>
                </c:pt>
                <c:pt idx="94">
                  <c:v>1.2533333333333334</c:v>
                </c:pt>
                <c:pt idx="95">
                  <c:v>1.2666666666666668</c:v>
                </c:pt>
                <c:pt idx="96">
                  <c:v>1.28</c:v>
                </c:pt>
                <c:pt idx="97">
                  <c:v>1.2933333333333334</c:v>
                </c:pt>
                <c:pt idx="98">
                  <c:v>1.3066666666666666</c:v>
                </c:pt>
                <c:pt idx="99">
                  <c:v>1.32</c:v>
                </c:pt>
                <c:pt idx="100">
                  <c:v>1.3333333333333335</c:v>
                </c:pt>
                <c:pt idx="101">
                  <c:v>1.3466666666666667</c:v>
                </c:pt>
                <c:pt idx="102">
                  <c:v>1.36</c:v>
                </c:pt>
                <c:pt idx="103">
                  <c:v>1.3733333333333335</c:v>
                </c:pt>
                <c:pt idx="104">
                  <c:v>1.3866666666666667</c:v>
                </c:pt>
                <c:pt idx="105">
                  <c:v>1.4000000000000001</c:v>
                </c:pt>
                <c:pt idx="106">
                  <c:v>1.4133333333333333</c:v>
                </c:pt>
                <c:pt idx="107">
                  <c:v>1.4266666666666667</c:v>
                </c:pt>
                <c:pt idx="108">
                  <c:v>1.4400000000000002</c:v>
                </c:pt>
                <c:pt idx="109">
                  <c:v>1.4533333333333334</c:v>
                </c:pt>
                <c:pt idx="110">
                  <c:v>1.4666666666666668</c:v>
                </c:pt>
                <c:pt idx="111">
                  <c:v>1.4800000000000002</c:v>
                </c:pt>
                <c:pt idx="112">
                  <c:v>1.4933333333333334</c:v>
                </c:pt>
                <c:pt idx="113">
                  <c:v>1.5066666666666668</c:v>
                </c:pt>
                <c:pt idx="114">
                  <c:v>1.52</c:v>
                </c:pt>
                <c:pt idx="115">
                  <c:v>1.5333333333333334</c:v>
                </c:pt>
                <c:pt idx="116">
                  <c:v>1.5466666666666669</c:v>
                </c:pt>
                <c:pt idx="117">
                  <c:v>1.56</c:v>
                </c:pt>
                <c:pt idx="118">
                  <c:v>1.5733333333333335</c:v>
                </c:pt>
                <c:pt idx="119">
                  <c:v>1.5866666666666667</c:v>
                </c:pt>
                <c:pt idx="120">
                  <c:v>1.6</c:v>
                </c:pt>
                <c:pt idx="121">
                  <c:v>1.6133333333333335</c:v>
                </c:pt>
                <c:pt idx="122">
                  <c:v>1.6266666666666667</c:v>
                </c:pt>
                <c:pt idx="123">
                  <c:v>1.6400000000000001</c:v>
                </c:pt>
                <c:pt idx="124">
                  <c:v>1.6533333333333335</c:v>
                </c:pt>
                <c:pt idx="125">
                  <c:v>1.6666666666666667</c:v>
                </c:pt>
                <c:pt idx="126">
                  <c:v>1.6800000000000002</c:v>
                </c:pt>
                <c:pt idx="127">
                  <c:v>1.6933333333333334</c:v>
                </c:pt>
                <c:pt idx="128">
                  <c:v>1.7066666666666668</c:v>
                </c:pt>
                <c:pt idx="129">
                  <c:v>1.7200000000000002</c:v>
                </c:pt>
                <c:pt idx="130">
                  <c:v>1.7333333333333334</c:v>
                </c:pt>
                <c:pt idx="131">
                  <c:v>1.7466666666666668</c:v>
                </c:pt>
                <c:pt idx="132">
                  <c:v>1.76</c:v>
                </c:pt>
                <c:pt idx="133">
                  <c:v>1.7733333333333334</c:v>
                </c:pt>
                <c:pt idx="134">
                  <c:v>1.7866666666666668</c:v>
                </c:pt>
                <c:pt idx="135">
                  <c:v>1.8</c:v>
                </c:pt>
                <c:pt idx="136">
                  <c:v>1.8133333333333335</c:v>
                </c:pt>
                <c:pt idx="137">
                  <c:v>1.8266666666666669</c:v>
                </c:pt>
                <c:pt idx="138">
                  <c:v>1.84</c:v>
                </c:pt>
                <c:pt idx="139">
                  <c:v>1.8533333333333335</c:v>
                </c:pt>
                <c:pt idx="140">
                  <c:v>1.8666666666666667</c:v>
                </c:pt>
                <c:pt idx="141">
                  <c:v>1.8800000000000001</c:v>
                </c:pt>
                <c:pt idx="142">
                  <c:v>1.8933333333333335</c:v>
                </c:pt>
                <c:pt idx="143">
                  <c:v>1.9066666666666667</c:v>
                </c:pt>
                <c:pt idx="144">
                  <c:v>1.9200000000000002</c:v>
                </c:pt>
                <c:pt idx="145">
                  <c:v>1.9333333333333333</c:v>
                </c:pt>
                <c:pt idx="146">
                  <c:v>1.9466666666666668</c:v>
                </c:pt>
                <c:pt idx="147">
                  <c:v>1.9600000000000002</c:v>
                </c:pt>
                <c:pt idx="148">
                  <c:v>1.9733333333333334</c:v>
                </c:pt>
                <c:pt idx="149">
                  <c:v>1.9866666666666668</c:v>
                </c:pt>
                <c:pt idx="150">
                  <c:v>2</c:v>
                </c:pt>
              </c:numCache>
            </c:numRef>
          </c:xVal>
          <c:yVal>
            <c:numRef>
              <c:f>Eff_vs_IOUT!$AO$7:$AO$157</c:f>
              <c:numCache>
                <c:formatCode>General</c:formatCode>
                <c:ptCount val="151"/>
                <c:pt idx="0">
                  <c:v>0</c:v>
                </c:pt>
                <c:pt idx="1">
                  <c:v>3.9360661579559786E-6</c:v>
                </c:pt>
                <c:pt idx="2">
                  <c:v>1.113287628595821E-5</c:v>
                </c:pt>
                <c:pt idx="3">
                  <c:v>2.0452399702596552E-5</c:v>
                </c:pt>
                <c:pt idx="4">
                  <c:v>3.1488529263647829E-5</c:v>
                </c:pt>
                <c:pt idx="5">
                  <c:v>4.4006557465629971E-5</c:v>
                </c:pt>
                <c:pt idx="6">
                  <c:v>5.7848122084974975E-5</c:v>
                </c:pt>
                <c:pt idx="7">
                  <c:v>7.2896965384942981E-5</c:v>
                </c:pt>
                <c:pt idx="8">
                  <c:v>8.9063010287665682E-5</c:v>
                </c:pt>
                <c:pt idx="9">
                  <c:v>1.0627378626481143E-4</c:v>
                </c:pt>
                <c:pt idx="10">
                  <c:v>1.2446934080248982E-4</c:v>
                </c:pt>
                <c:pt idx="11">
                  <c:v>1.4359900055551308E-4</c:v>
                </c:pt>
                <c:pt idx="12">
                  <c:v>1.6361919762077239E-4</c:v>
                </c:pt>
                <c:pt idx="13">
                  <c:v>1.8449194862967485E-4</c:v>
                </c:pt>
                <c:pt idx="14">
                  <c:v>2.0618375420645686E-4</c:v>
                </c:pt>
                <c:pt idx="15">
                  <c:v>2.2866478019001194E-4</c:v>
                </c:pt>
                <c:pt idx="16">
                  <c:v>2.5190823410918263E-4</c:v>
                </c:pt>
                <c:pt idx="17">
                  <c:v>2.7588988081741708E-4</c:v>
                </c:pt>
                <c:pt idx="18">
                  <c:v>3.005876597208719E-4</c:v>
                </c:pt>
                <c:pt idx="19">
                  <c:v>3.2598137773479004E-4</c:v>
                </c:pt>
                <c:pt idx="20">
                  <c:v>3.5205245972503983E-4</c:v>
                </c:pt>
                <c:pt idx="21">
                  <c:v>3.7878374329293306E-4</c:v>
                </c:pt>
                <c:pt idx="22">
                  <c:v>4.0615930825765645E-4</c:v>
                </c:pt>
                <c:pt idx="23">
                  <c:v>4.341643336379022E-4</c:v>
                </c:pt>
                <c:pt idx="24">
                  <c:v>4.6278497667979985E-4</c:v>
                </c:pt>
                <c:pt idx="25">
                  <c:v>4.9200826974449773E-4</c:v>
                </c:pt>
                <c:pt idx="26">
                  <c:v>5.2182203180145277E-4</c:v>
                </c:pt>
                <c:pt idx="27">
                  <c:v>5.5221479197010677E-4</c:v>
                </c:pt>
                <c:pt idx="28">
                  <c:v>5.8317572307954374E-4</c:v>
                </c:pt>
                <c:pt idx="29">
                  <c:v>7.2445308309719461E-4</c:v>
                </c:pt>
                <c:pt idx="30">
                  <c:v>7.6491947541543843E-4</c:v>
                </c:pt>
                <c:pt idx="31">
                  <c:v>8.0675760984616539E-4</c:v>
                </c:pt>
                <c:pt idx="32">
                  <c:v>8.4996748638937515E-4</c:v>
                </c:pt>
                <c:pt idx="33">
                  <c:v>8.9454910504506793E-4</c:v>
                </c:pt>
                <c:pt idx="34">
                  <c:v>9.4050246581324373E-4</c:v>
                </c:pt>
                <c:pt idx="35">
                  <c:v>9.8782756869390223E-4</c:v>
                </c:pt>
                <c:pt idx="36">
                  <c:v>1.036524413687043E-3</c:v>
                </c:pt>
                <c:pt idx="37">
                  <c:v>1.0865930007926672E-3</c:v>
                </c:pt>
                <c:pt idx="38">
                  <c:v>1.1380333300107747E-3</c:v>
                </c:pt>
                <c:pt idx="39">
                  <c:v>1.1908454013413645E-3</c:v>
                </c:pt>
                <c:pt idx="40">
                  <c:v>1.2450292147844367E-3</c:v>
                </c:pt>
                <c:pt idx="41">
                  <c:v>1.3005847703399926E-3</c:v>
                </c:pt>
                <c:pt idx="42">
                  <c:v>1.357512068008031E-3</c:v>
                </c:pt>
                <c:pt idx="43">
                  <c:v>1.4158111077885514E-3</c:v>
                </c:pt>
                <c:pt idx="44">
                  <c:v>1.4754818896815563E-3</c:v>
                </c:pt>
                <c:pt idx="45">
                  <c:v>1.5365244136870439E-3</c:v>
                </c:pt>
                <c:pt idx="46">
                  <c:v>1.5989386798050122E-3</c:v>
                </c:pt>
                <c:pt idx="47">
                  <c:v>1.662724688035466E-3</c:v>
                </c:pt>
                <c:pt idx="48">
                  <c:v>1.7278824383784002E-3</c:v>
                </c:pt>
                <c:pt idx="49">
                  <c:v>1.7944119308338192E-3</c:v>
                </c:pt>
                <c:pt idx="50">
                  <c:v>1.8623131654017212E-3</c:v>
                </c:pt>
                <c:pt idx="51">
                  <c:v>1.9315861420821055E-3</c:v>
                </c:pt>
                <c:pt idx="52">
                  <c:v>2.0022308608749709E-3</c:v>
                </c:pt>
                <c:pt idx="53">
                  <c:v>2.0742473217803207E-3</c:v>
                </c:pt>
                <c:pt idx="54">
                  <c:v>2.1476355247981535E-3</c:v>
                </c:pt>
                <c:pt idx="55">
                  <c:v>2.2223954699284684E-3</c:v>
                </c:pt>
                <c:pt idx="56">
                  <c:v>2.2985271571712667E-3</c:v>
                </c:pt>
                <c:pt idx="57">
                  <c:v>2.3760305865265486E-3</c:v>
                </c:pt>
                <c:pt idx="58">
                  <c:v>2.4549057579943134E-3</c:v>
                </c:pt>
                <c:pt idx="59">
                  <c:v>2.5351526715745591E-3</c:v>
                </c:pt>
                <c:pt idx="60">
                  <c:v>2.6167713272672883E-3</c:v>
                </c:pt>
                <c:pt idx="61">
                  <c:v>2.6997617250725022E-3</c:v>
                </c:pt>
                <c:pt idx="62">
                  <c:v>2.7841238649901979E-3</c:v>
                </c:pt>
                <c:pt idx="63">
                  <c:v>2.8698577470203769E-3</c:v>
                </c:pt>
                <c:pt idx="64">
                  <c:v>2.956963371163036E-3</c:v>
                </c:pt>
                <c:pt idx="65">
                  <c:v>3.0454407374181807E-3</c:v>
                </c:pt>
                <c:pt idx="66">
                  <c:v>3.1352898457858076E-3</c:v>
                </c:pt>
                <c:pt idx="67">
                  <c:v>3.2265106962659183E-3</c:v>
                </c:pt>
                <c:pt idx="68">
                  <c:v>3.3191032888585099E-3</c:v>
                </c:pt>
                <c:pt idx="69">
                  <c:v>3.4130676235635845E-3</c:v>
                </c:pt>
                <c:pt idx="70">
                  <c:v>3.5084037003811431E-3</c:v>
                </c:pt>
                <c:pt idx="71">
                  <c:v>3.605111519311185E-3</c:v>
                </c:pt>
                <c:pt idx="72">
                  <c:v>3.7031910803537078E-3</c:v>
                </c:pt>
                <c:pt idx="73">
                  <c:v>3.8026423835087158E-3</c:v>
                </c:pt>
                <c:pt idx="74">
                  <c:v>3.9034654287762043E-3</c:v>
                </c:pt>
                <c:pt idx="75">
                  <c:v>4.0056602161561775E-3</c:v>
                </c:pt>
                <c:pt idx="76">
                  <c:v>4.1092267456486328E-3</c:v>
                </c:pt>
                <c:pt idx="77">
                  <c:v>4.2141650172535725E-3</c:v>
                </c:pt>
                <c:pt idx="78">
                  <c:v>4.3204750309709921E-3</c:v>
                </c:pt>
                <c:pt idx="79">
                  <c:v>4.4281567868008969E-3</c:v>
                </c:pt>
                <c:pt idx="80">
                  <c:v>4.5372102847432818E-3</c:v>
                </c:pt>
                <c:pt idx="81">
                  <c:v>4.6476355247981552E-3</c:v>
                </c:pt>
                <c:pt idx="82">
                  <c:v>4.7594325069655061E-3</c:v>
                </c:pt>
                <c:pt idx="83">
                  <c:v>4.8726012312453413E-3</c:v>
                </c:pt>
                <c:pt idx="84">
                  <c:v>4.9871416976376599E-3</c:v>
                </c:pt>
                <c:pt idx="85">
                  <c:v>5.1030539061424612E-3</c:v>
                </c:pt>
                <c:pt idx="86">
                  <c:v>5.2203378567597415E-3</c:v>
                </c:pt>
                <c:pt idx="87">
                  <c:v>5.3389935494895123E-3</c:v>
                </c:pt>
                <c:pt idx="88">
                  <c:v>5.459020984331763E-3</c:v>
                </c:pt>
                <c:pt idx="89">
                  <c:v>5.5804201612864937E-3</c:v>
                </c:pt>
                <c:pt idx="90">
                  <c:v>5.7031910803537105E-3</c:v>
                </c:pt>
                <c:pt idx="91">
                  <c:v>5.8273337415334072E-3</c:v>
                </c:pt>
                <c:pt idx="92">
                  <c:v>5.9528481448255901E-3</c:v>
                </c:pt>
                <c:pt idx="93">
                  <c:v>6.079734290230252E-3</c:v>
                </c:pt>
                <c:pt idx="94">
                  <c:v>6.2079921777474E-3</c:v>
                </c:pt>
                <c:pt idx="95">
                  <c:v>6.3376218073770306E-3</c:v>
                </c:pt>
                <c:pt idx="96">
                  <c:v>6.4686231791191411E-3</c:v>
                </c:pt>
                <c:pt idx="97">
                  <c:v>6.6009962929737378E-3</c:v>
                </c:pt>
                <c:pt idx="98">
                  <c:v>6.7347411489408161E-3</c:v>
                </c:pt>
                <c:pt idx="99">
                  <c:v>6.8698577470203753E-3</c:v>
                </c:pt>
                <c:pt idx="100">
                  <c:v>7.0063460872124214E-3</c:v>
                </c:pt>
                <c:pt idx="101">
                  <c:v>7.1442061695169458E-3</c:v>
                </c:pt>
                <c:pt idx="102">
                  <c:v>7.2834379939339571E-3</c:v>
                </c:pt>
                <c:pt idx="103">
                  <c:v>7.4240415604634492E-3</c:v>
                </c:pt>
                <c:pt idx="104">
                  <c:v>7.5660168691054214E-3</c:v>
                </c:pt>
                <c:pt idx="105">
                  <c:v>7.7093639198598822E-3</c:v>
                </c:pt>
                <c:pt idx="106">
                  <c:v>7.8540827127268221E-3</c:v>
                </c:pt>
                <c:pt idx="107">
                  <c:v>8.0001732477062472E-3</c:v>
                </c:pt>
                <c:pt idx="108">
                  <c:v>8.1476355247981531E-3</c:v>
                </c:pt>
                <c:pt idx="109">
                  <c:v>8.2964695440025434E-3</c:v>
                </c:pt>
                <c:pt idx="110">
                  <c:v>8.4466753053194128E-3</c:v>
                </c:pt>
                <c:pt idx="111">
                  <c:v>8.5982528087487735E-3</c:v>
                </c:pt>
                <c:pt idx="112">
                  <c:v>8.7512020542906081E-3</c:v>
                </c:pt>
                <c:pt idx="113">
                  <c:v>8.9055230419449304E-3</c:v>
                </c:pt>
                <c:pt idx="114">
                  <c:v>9.0612157717117336E-3</c:v>
                </c:pt>
                <c:pt idx="115">
                  <c:v>9.2182802435910195E-3</c:v>
                </c:pt>
                <c:pt idx="116">
                  <c:v>9.3767164575827896E-3</c:v>
                </c:pt>
                <c:pt idx="117">
                  <c:v>9.5365244136870423E-3</c:v>
                </c:pt>
                <c:pt idx="118">
                  <c:v>9.6977041119037776E-3</c:v>
                </c:pt>
                <c:pt idx="119">
                  <c:v>9.8602555522329972E-3</c:v>
                </c:pt>
                <c:pt idx="120">
                  <c:v>1.0024178734674691E-2</c:v>
                </c:pt>
                <c:pt idx="121">
                  <c:v>1.0189473659228883E-2</c:v>
                </c:pt>
                <c:pt idx="122">
                  <c:v>1.0356140325895552E-2</c:v>
                </c:pt>
                <c:pt idx="123">
                  <c:v>1.0524178734674695E-2</c:v>
                </c:pt>
                <c:pt idx="124">
                  <c:v>1.0693588885566334E-2</c:v>
                </c:pt>
                <c:pt idx="125">
                  <c:v>1.0864370778570448E-2</c:v>
                </c:pt>
                <c:pt idx="126">
                  <c:v>1.1036524413687045E-2</c:v>
                </c:pt>
                <c:pt idx="127">
                  <c:v>1.1210049790916122E-2</c:v>
                </c:pt>
                <c:pt idx="128">
                  <c:v>1.1384946910257685E-2</c:v>
                </c:pt>
                <c:pt idx="129">
                  <c:v>1.1561215771711739E-2</c:v>
                </c:pt>
                <c:pt idx="130">
                  <c:v>1.1738856375278264E-2</c:v>
                </c:pt>
                <c:pt idx="131">
                  <c:v>1.1917868720957278E-2</c:v>
                </c:pt>
                <c:pt idx="132">
                  <c:v>1.2098252808748768E-2</c:v>
                </c:pt>
                <c:pt idx="133">
                  <c:v>1.2280008638652747E-2</c:v>
                </c:pt>
                <c:pt idx="134">
                  <c:v>1.2463136210669218E-2</c:v>
                </c:pt>
                <c:pt idx="135">
                  <c:v>1.2647635524798148E-2</c:v>
                </c:pt>
                <c:pt idx="136">
                  <c:v>1.2833506581039577E-2</c:v>
                </c:pt>
                <c:pt idx="137">
                  <c:v>1.3020749379393492E-2</c:v>
                </c:pt>
                <c:pt idx="138">
                  <c:v>1.3209363919859878E-2</c:v>
                </c:pt>
                <c:pt idx="139">
                  <c:v>1.3399350202438758E-2</c:v>
                </c:pt>
                <c:pt idx="140">
                  <c:v>1.3590708227130112E-2</c:v>
                </c:pt>
                <c:pt idx="141">
                  <c:v>1.3783437993933959E-2</c:v>
                </c:pt>
                <c:pt idx="142">
                  <c:v>1.3977539502850281E-2</c:v>
                </c:pt>
                <c:pt idx="143">
                  <c:v>1.4173012753879083E-2</c:v>
                </c:pt>
                <c:pt idx="144">
                  <c:v>1.4369857747020374E-2</c:v>
                </c:pt>
                <c:pt idx="145">
                  <c:v>1.4568074482274148E-2</c:v>
                </c:pt>
                <c:pt idx="146">
                  <c:v>1.4767662959640399E-2</c:v>
                </c:pt>
                <c:pt idx="147">
                  <c:v>1.496862317911914E-2</c:v>
                </c:pt>
                <c:pt idx="148">
                  <c:v>1.5170955140710358E-2</c:v>
                </c:pt>
                <c:pt idx="149">
                  <c:v>1.5374658844414057E-2</c:v>
                </c:pt>
                <c:pt idx="150">
                  <c:v>1.5579734290230254E-2</c:v>
                </c:pt>
              </c:numCache>
            </c:numRef>
          </c:yVal>
          <c:smooth val="1"/>
          <c:extLst>
            <c:ext xmlns:c16="http://schemas.microsoft.com/office/drawing/2014/chart" uri="{C3380CC4-5D6E-409C-BE32-E72D297353CC}">
              <c16:uniqueId val="{00000003-D428-476F-9D9B-414A5D21B4D3}"/>
            </c:ext>
          </c:extLst>
        </c:ser>
        <c:dLbls>
          <c:showLegendKey val="0"/>
          <c:showVal val="0"/>
          <c:showCatName val="0"/>
          <c:showSerName val="0"/>
          <c:showPercent val="0"/>
          <c:showBubbleSize val="0"/>
        </c:dLbls>
        <c:axId val="162552448"/>
        <c:axId val="162550528"/>
      </c:scatterChart>
      <c:valAx>
        <c:axId val="161084544"/>
        <c:scaling>
          <c:orientation val="minMax"/>
        </c:scaling>
        <c:delete val="0"/>
        <c:axPos val="b"/>
        <c:majorGridlines/>
        <c:numFmt formatCode="General" sourceLinked="1"/>
        <c:majorTickMark val="out"/>
        <c:minorTickMark val="none"/>
        <c:tickLblPos val="nextTo"/>
        <c:crossAx val="161086080"/>
        <c:crosses val="autoZero"/>
        <c:crossBetween val="midCat"/>
      </c:valAx>
      <c:valAx>
        <c:axId val="161086080"/>
        <c:scaling>
          <c:orientation val="minMax"/>
          <c:max val="100"/>
          <c:min val="60"/>
        </c:scaling>
        <c:delete val="0"/>
        <c:axPos val="l"/>
        <c:majorGridlines/>
        <c:title>
          <c:tx>
            <c:rich>
              <a:bodyPr rot="-5400000" vert="horz"/>
              <a:lstStyle/>
              <a:p>
                <a:pPr>
                  <a:defRPr sz="1400"/>
                </a:pPr>
                <a:r>
                  <a:rPr lang="en-US" sz="1400"/>
                  <a:t>Efficiency</a:t>
                </a:r>
                <a:r>
                  <a:rPr lang="en-US" sz="1400" baseline="0"/>
                  <a:t> (%)</a:t>
                </a:r>
                <a:endParaRPr lang="en-US" sz="1400"/>
              </a:p>
            </c:rich>
          </c:tx>
          <c:overlay val="0"/>
        </c:title>
        <c:numFmt formatCode="General" sourceLinked="1"/>
        <c:majorTickMark val="out"/>
        <c:minorTickMark val="none"/>
        <c:tickLblPos val="nextTo"/>
        <c:crossAx val="161084544"/>
        <c:crosses val="autoZero"/>
        <c:crossBetween val="midCat"/>
      </c:valAx>
      <c:valAx>
        <c:axId val="162550528"/>
        <c:scaling>
          <c:orientation val="minMax"/>
        </c:scaling>
        <c:delete val="0"/>
        <c:axPos val="r"/>
        <c:title>
          <c:tx>
            <c:rich>
              <a:bodyPr rot="-5400000" vert="horz"/>
              <a:lstStyle/>
              <a:p>
                <a:pPr>
                  <a:defRPr sz="1400"/>
                </a:pPr>
                <a:r>
                  <a:rPr lang="en-US" sz="1400"/>
                  <a:t>Losses</a:t>
                </a:r>
                <a:r>
                  <a:rPr lang="en-US" sz="1400" baseline="0"/>
                  <a:t> (W)</a:t>
                </a:r>
                <a:endParaRPr lang="en-US" sz="1400"/>
              </a:p>
            </c:rich>
          </c:tx>
          <c:overlay val="0"/>
        </c:title>
        <c:numFmt formatCode="General" sourceLinked="1"/>
        <c:majorTickMark val="out"/>
        <c:minorTickMark val="none"/>
        <c:tickLblPos val="nextTo"/>
        <c:crossAx val="162552448"/>
        <c:crosses val="max"/>
        <c:crossBetween val="midCat"/>
      </c:valAx>
      <c:valAx>
        <c:axId val="162552448"/>
        <c:scaling>
          <c:orientation val="minMax"/>
        </c:scaling>
        <c:delete val="1"/>
        <c:axPos val="b"/>
        <c:title>
          <c:tx>
            <c:rich>
              <a:bodyPr/>
              <a:lstStyle/>
              <a:p>
                <a:pPr>
                  <a:defRPr/>
                </a:pPr>
                <a:r>
                  <a:rPr lang="en-US"/>
                  <a:t>Loac</a:t>
                </a:r>
                <a:r>
                  <a:rPr lang="en-US" baseline="0"/>
                  <a:t> Current (A)</a:t>
                </a:r>
                <a:endParaRPr lang="en-US"/>
              </a:p>
            </c:rich>
          </c:tx>
          <c:overlay val="0"/>
        </c:title>
        <c:numFmt formatCode="General" sourceLinked="1"/>
        <c:majorTickMark val="out"/>
        <c:minorTickMark val="none"/>
        <c:tickLblPos val="nextTo"/>
        <c:crossAx val="162550528"/>
        <c:crosses val="autoZero"/>
        <c:crossBetween val="midCat"/>
      </c:valAx>
    </c:plotArea>
    <c:legend>
      <c:legendPos val="r"/>
      <c:layout>
        <c:manualLayout>
          <c:xMode val="edge"/>
          <c:yMode val="edge"/>
          <c:x val="0.51894403926190358"/>
          <c:y val="6.4862204724409449E-3"/>
          <c:w val="0.39609572935704079"/>
          <c:h val="0.12183653099700564"/>
        </c:manualLayout>
      </c:layout>
      <c:overlay val="1"/>
    </c:legend>
    <c:plotVisOnly val="1"/>
    <c:dispBlanksAs val="gap"/>
    <c:showDLblsOverMax val="0"/>
  </c:chart>
  <c:spPr>
    <a:ln>
      <a:noFill/>
    </a:ln>
  </c:spPr>
  <c:printSettings>
    <c:headerFooter/>
    <c:pageMargins b="0.75" l="0.7" r="0.7" t="0.75" header="0.3" footer="0.3"/>
    <c:pageSetup/>
  </c:printSettings>
</c:chartSpace>
</file>

<file path=xl/ctrlProps/ctrlProp1.xml><?xml version="1.0" encoding="utf-8"?>
<formControlPr xmlns="http://schemas.microsoft.com/office/spreadsheetml/2009/9/main" objectType="Drop" dropStyle="combo" dx="26" fmlaRange="$1:$1048576" noThreeD="1" sel="0" val="0"/>
</file>

<file path=xl/ctrlProps/ctrlProp2.xml><?xml version="1.0" encoding="utf-8"?>
<formControlPr xmlns="http://schemas.microsoft.com/office/spreadsheetml/2009/9/main" objectType="Spin" dx="20" fmlaLink="$H$8" max="45" noThreeD="1" page="10" val="24"/>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4.xml"/><Relationship Id="rId5" Type="http://schemas.openxmlformats.org/officeDocument/2006/relationships/chart" Target="../charts/chart6.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drawing8.xml.rels><?xml version="1.0" encoding="UTF-8" standalone="yes"?>
<Relationships xmlns="http://schemas.openxmlformats.org/package/2006/relationships"><Relationship Id="rId3" Type="http://schemas.openxmlformats.org/officeDocument/2006/relationships/hyperlink" Target="http://www.ti.com/corp/docs/legal/copyright.shtml" TargetMode="External"/><Relationship Id="rId2" Type="http://schemas.openxmlformats.org/officeDocument/2006/relationships/image" Target="../media/image11.gif"/><Relationship Id="rId1" Type="http://schemas.openxmlformats.org/officeDocument/2006/relationships/hyperlink" Target="http://www.ti.co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590550</xdr:colOff>
          <xdr:row>30</xdr:row>
          <xdr:rowOff>85725</xdr:rowOff>
        </xdr:from>
        <xdr:to>
          <xdr:col>16</xdr:col>
          <xdr:colOff>219075</xdr:colOff>
          <xdr:row>31</xdr:row>
          <xdr:rowOff>114300</xdr:rowOff>
        </xdr:to>
        <xdr:sp macro="" textlink="">
          <xdr:nvSpPr>
            <xdr:cNvPr id="1170" name="Drop Down 146" descr="This is just there to fix the excel issue with comments and linked pictures"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twoCellAnchor>
    <xdr:from>
      <xdr:col>9</xdr:col>
      <xdr:colOff>22860</xdr:colOff>
      <xdr:row>50</xdr:row>
      <xdr:rowOff>1</xdr:rowOff>
    </xdr:from>
    <xdr:to>
      <xdr:col>25</xdr:col>
      <xdr:colOff>598714</xdr:colOff>
      <xdr:row>71</xdr:row>
      <xdr:rowOff>175261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22861</xdr:colOff>
      <xdr:row>74</xdr:row>
      <xdr:rowOff>7620</xdr:rowOff>
    </xdr:from>
    <xdr:to>
      <xdr:col>25</xdr:col>
      <xdr:colOff>600637</xdr:colOff>
      <xdr:row>98</xdr:row>
      <xdr:rowOff>163286</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7</xdr:col>
          <xdr:colOff>504825</xdr:colOff>
          <xdr:row>56</xdr:row>
          <xdr:rowOff>0</xdr:rowOff>
        </xdr:from>
        <xdr:to>
          <xdr:col>8</xdr:col>
          <xdr:colOff>9525</xdr:colOff>
          <xdr:row>58</xdr:row>
          <xdr:rowOff>0</xdr:rowOff>
        </xdr:to>
        <xdr:sp macro="" textlink="">
          <xdr:nvSpPr>
            <xdr:cNvPr id="1060" name="Spinner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14</xdr:col>
      <xdr:colOff>134501</xdr:colOff>
      <xdr:row>49</xdr:row>
      <xdr:rowOff>62752</xdr:rowOff>
    </xdr:from>
    <xdr:to>
      <xdr:col>15</xdr:col>
      <xdr:colOff>484124</xdr:colOff>
      <xdr:row>51</xdr:row>
      <xdr:rowOff>161363</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326001" y="10338546"/>
          <a:ext cx="943535" cy="5468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p>
      </xdr:txBody>
    </xdr:sp>
    <xdr:clientData/>
  </xdr:twoCellAnchor>
  <xdr:twoCellAnchor>
    <xdr:from>
      <xdr:col>15</xdr:col>
      <xdr:colOff>197245</xdr:colOff>
      <xdr:row>49</xdr:row>
      <xdr:rowOff>71718</xdr:rowOff>
    </xdr:from>
    <xdr:to>
      <xdr:col>16</xdr:col>
      <xdr:colOff>528939</xdr:colOff>
      <xdr:row>51</xdr:row>
      <xdr:rowOff>170330</xdr:rowOff>
    </xdr:to>
    <xdr:sp macro="" textlink="VIN_nom">
      <xdr:nvSpPr>
        <xdr:cNvPr id="3" name="TextBox 2">
          <a:extLst>
            <a:ext uri="{FF2B5EF4-FFF2-40B4-BE49-F238E27FC236}">
              <a16:creationId xmlns:a16="http://schemas.microsoft.com/office/drawing/2014/main" id="{00000000-0008-0000-0000-000003000000}"/>
            </a:ext>
          </a:extLst>
        </xdr:cNvPr>
        <xdr:cNvSpPr txBox="1"/>
      </xdr:nvSpPr>
      <xdr:spPr>
        <a:xfrm>
          <a:off x="8955763" y="9538447"/>
          <a:ext cx="941294" cy="493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E0D9B-34B5-4A81-8CB9-A88F658AFD78}" type="TxLink">
            <a:rPr lang="en-US" sz="2400" b="0" i="0" u="none" strike="noStrike">
              <a:solidFill>
                <a:srgbClr val="000000"/>
              </a:solidFill>
              <a:latin typeface="Calibri"/>
            </a:rPr>
            <a:pPr/>
            <a:t>24</a:t>
          </a:fld>
          <a:endParaRPr lang="en-US" sz="2400"/>
        </a:p>
      </xdr:txBody>
    </xdr:sp>
    <xdr:clientData/>
  </xdr:twoCellAnchor>
  <xdr:twoCellAnchor>
    <xdr:from>
      <xdr:col>15</xdr:col>
      <xdr:colOff>568726</xdr:colOff>
      <xdr:row>49</xdr:row>
      <xdr:rowOff>62752</xdr:rowOff>
    </xdr:from>
    <xdr:to>
      <xdr:col>17</xdr:col>
      <xdr:colOff>318274</xdr:colOff>
      <xdr:row>51</xdr:row>
      <xdr:rowOff>161363</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9354138" y="10338546"/>
          <a:ext cx="937371" cy="5468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p>
      </xdr:txBody>
    </xdr:sp>
    <xdr:clientData/>
  </xdr:twoCellAnchor>
  <xdr:twoCellAnchor>
    <xdr:from>
      <xdr:col>11</xdr:col>
      <xdr:colOff>376517</xdr:colOff>
      <xdr:row>74</xdr:row>
      <xdr:rowOff>26894</xdr:rowOff>
    </xdr:from>
    <xdr:to>
      <xdr:col>13</xdr:col>
      <xdr:colOff>116540</xdr:colOff>
      <xdr:row>76</xdr:row>
      <xdr:rowOff>134470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96635" y="14379388"/>
          <a:ext cx="959223" cy="493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p>
      </xdr:txBody>
    </xdr:sp>
    <xdr:clientData/>
  </xdr:twoCellAnchor>
  <xdr:twoCellAnchor>
    <xdr:from>
      <xdr:col>12</xdr:col>
      <xdr:colOff>439261</xdr:colOff>
      <xdr:row>74</xdr:row>
      <xdr:rowOff>35860</xdr:rowOff>
    </xdr:from>
    <xdr:to>
      <xdr:col>14</xdr:col>
      <xdr:colOff>161355</xdr:colOff>
      <xdr:row>76</xdr:row>
      <xdr:rowOff>143437</xdr:rowOff>
    </xdr:to>
    <xdr:sp macro="" textlink="VIN_nom">
      <xdr:nvSpPr>
        <xdr:cNvPr id="10" name="TextBox 9">
          <a:extLst>
            <a:ext uri="{FF2B5EF4-FFF2-40B4-BE49-F238E27FC236}">
              <a16:creationId xmlns:a16="http://schemas.microsoft.com/office/drawing/2014/main" id="{00000000-0008-0000-0000-00000A000000}"/>
            </a:ext>
          </a:extLst>
        </xdr:cNvPr>
        <xdr:cNvSpPr txBox="1"/>
      </xdr:nvSpPr>
      <xdr:spPr>
        <a:xfrm>
          <a:off x="7368979" y="14388354"/>
          <a:ext cx="941294" cy="493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E0D9B-34B5-4A81-8CB9-A88F658AFD78}" type="TxLink">
            <a:rPr lang="en-US" sz="2400" b="0" i="0" u="none" strike="noStrike">
              <a:solidFill>
                <a:srgbClr val="000000"/>
              </a:solidFill>
              <a:latin typeface="Calibri"/>
            </a:rPr>
            <a:pPr/>
            <a:t>24</a:t>
          </a:fld>
          <a:endParaRPr lang="en-US" sz="2400"/>
        </a:p>
      </xdr:txBody>
    </xdr:sp>
    <xdr:clientData/>
  </xdr:twoCellAnchor>
  <xdr:twoCellAnchor>
    <xdr:from>
      <xdr:col>13</xdr:col>
      <xdr:colOff>233079</xdr:colOff>
      <xdr:row>74</xdr:row>
      <xdr:rowOff>26894</xdr:rowOff>
    </xdr:from>
    <xdr:to>
      <xdr:col>14</xdr:col>
      <xdr:colOff>582702</xdr:colOff>
      <xdr:row>76</xdr:row>
      <xdr:rowOff>134470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772397" y="14379388"/>
          <a:ext cx="959223" cy="493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p>
      </xdr:txBody>
    </xdr:sp>
    <xdr:clientData/>
  </xdr:twoCellAnchor>
  <xdr:twoCellAnchor>
    <xdr:from>
      <xdr:col>11</xdr:col>
      <xdr:colOff>99097</xdr:colOff>
      <xdr:row>67</xdr:row>
      <xdr:rowOff>155530</xdr:rowOff>
    </xdr:from>
    <xdr:to>
      <xdr:col>13</xdr:col>
      <xdr:colOff>150962</xdr:colOff>
      <xdr:row>68</xdr:row>
      <xdr:rowOff>132991</xdr:rowOff>
    </xdr:to>
    <xdr:sp macro="" textlink="Loop_Modeling!A69">
      <xdr:nvSpPr>
        <xdr:cNvPr id="14" name="TextBox 13">
          <a:extLst>
            <a:ext uri="{FF2B5EF4-FFF2-40B4-BE49-F238E27FC236}">
              <a16:creationId xmlns:a16="http://schemas.microsoft.com/office/drawing/2014/main" id="{00000000-0008-0000-0000-00000E000000}"/>
            </a:ext>
          </a:extLst>
        </xdr:cNvPr>
        <xdr:cNvSpPr txBox="1"/>
      </xdr:nvSpPr>
      <xdr:spPr>
        <a:xfrm>
          <a:off x="6475455" y="14328011"/>
          <a:ext cx="1230809" cy="1787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6E2E744-8A5D-4458-A426-E4363EDE50C7}" type="TxLink">
            <a:rPr lang="en-US" sz="1100" b="1" i="0" u="none" strike="noStrike">
              <a:solidFill>
                <a:schemeClr val="accent1">
                  <a:lumMod val="75000"/>
                </a:schemeClr>
              </a:solidFill>
              <a:latin typeface="Calibri"/>
              <a:cs typeface="Calibri"/>
            </a:rPr>
            <a:pPr/>
            <a:t>Phase Margin = 60°</a:t>
          </a:fld>
          <a:endParaRPr lang="en-US" sz="2400" b="1">
            <a:solidFill>
              <a:schemeClr val="accent1">
                <a:lumMod val="75000"/>
              </a:schemeClr>
            </a:solidFill>
          </a:endParaRPr>
        </a:p>
      </xdr:txBody>
    </xdr:sp>
    <xdr:clientData/>
  </xdr:twoCellAnchor>
  <xdr:twoCellAnchor>
    <xdr:from>
      <xdr:col>11</xdr:col>
      <xdr:colOff>98632</xdr:colOff>
      <xdr:row>66</xdr:row>
      <xdr:rowOff>109818</xdr:rowOff>
    </xdr:from>
    <xdr:to>
      <xdr:col>15</xdr:col>
      <xdr:colOff>224116</xdr:colOff>
      <xdr:row>67</xdr:row>
      <xdr:rowOff>123265</xdr:rowOff>
    </xdr:to>
    <xdr:sp macro="" textlink="Loop_Modeling!A68">
      <xdr:nvSpPr>
        <xdr:cNvPr id="15" name="TextBox 14">
          <a:extLst>
            <a:ext uri="{FF2B5EF4-FFF2-40B4-BE49-F238E27FC236}">
              <a16:creationId xmlns:a16="http://schemas.microsoft.com/office/drawing/2014/main" id="{00000000-0008-0000-0000-00000F000000}"/>
            </a:ext>
          </a:extLst>
        </xdr:cNvPr>
        <xdr:cNvSpPr txBox="1"/>
      </xdr:nvSpPr>
      <xdr:spPr>
        <a:xfrm>
          <a:off x="6508397" y="13982700"/>
          <a:ext cx="2501131" cy="2039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F506B42-A944-4597-8E98-BD1D41977E0E}" type="TxLink">
            <a:rPr lang="en-US" sz="1100" b="1" i="0" u="none" strike="noStrike">
              <a:solidFill>
                <a:srgbClr val="C00000"/>
              </a:solidFill>
              <a:latin typeface="+mn-lt"/>
              <a:cs typeface="Arial" panose="020B0604020202020204" pitchFamily="34" charset="0"/>
            </a:rPr>
            <a:pPr/>
            <a:t>Crossover Frequency = 14.5 kHz</a:t>
          </a:fld>
          <a:endParaRPr lang="en-US" sz="2400" b="1">
            <a:solidFill>
              <a:srgbClr val="C00000"/>
            </a:solidFill>
            <a:latin typeface="+mn-lt"/>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10</xdr:col>
          <xdr:colOff>18648</xdr:colOff>
          <xdr:row>6</xdr:row>
          <xdr:rowOff>9525</xdr:rowOff>
        </xdr:from>
        <xdr:to>
          <xdr:col>25</xdr:col>
          <xdr:colOff>417820</xdr:colOff>
          <xdr:row>36</xdr:row>
          <xdr:rowOff>167640</xdr:rowOff>
        </xdr:to>
        <xdr:pic>
          <xdr:nvPicPr>
            <xdr:cNvPr id="18" name="Picture 17">
              <a:extLst>
                <a:ext uri="{FF2B5EF4-FFF2-40B4-BE49-F238E27FC236}">
                  <a16:creationId xmlns:a16="http://schemas.microsoft.com/office/drawing/2014/main" id="{00000000-0008-0000-0000-000012000000}"/>
                </a:ext>
              </a:extLst>
            </xdr:cNvPr>
            <xdr:cNvPicPr>
              <a:picLocks noChangeAspect="1"/>
              <a:extLst>
                <a:ext uri="{84589F7E-364E-4C9E-8A38-B11213B215E9}">
                  <a14:cameraTool cellRange="display_SCH" spid="_x0000_s1223"/>
                </a:ext>
              </a:extLst>
            </xdr:cNvPicPr>
          </xdr:nvPicPr>
          <xdr:blipFill rotWithShape="1">
            <a:blip xmlns:r="http://schemas.openxmlformats.org/officeDocument/2006/relationships" r:embed="rId3"/>
            <a:srcRect/>
            <a:stretch>
              <a:fillRect/>
            </a:stretch>
          </xdr:blipFill>
          <xdr:spPr>
            <a:xfrm>
              <a:off x="5834501" y="1567143"/>
              <a:ext cx="9195790" cy="6116058"/>
            </a:xfrm>
            <a:prstGeom prst="rect">
              <a:avLst/>
            </a:prstGeom>
            <a:solidFill>
              <a:schemeClr val="bg1"/>
            </a:solidFill>
          </xdr:spPr>
        </xdr:pic>
        <xdr:clientData/>
      </xdr:twoCellAnchor>
    </mc:Choice>
    <mc:Fallback/>
  </mc:AlternateContent>
  <xdr:twoCellAnchor>
    <xdr:from>
      <xdr:col>14</xdr:col>
      <xdr:colOff>333375</xdr:colOff>
      <xdr:row>16</xdr:row>
      <xdr:rowOff>85724</xdr:rowOff>
    </xdr:from>
    <xdr:to>
      <xdr:col>16</xdr:col>
      <xdr:colOff>428625</xdr:colOff>
      <xdr:row>18</xdr:row>
      <xdr:rowOff>57149</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8486775" y="3543299"/>
          <a:ext cx="1276350"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Arial" panose="020B0604020202020204" pitchFamily="34" charset="0"/>
              <a:cs typeface="Arial" panose="020B0604020202020204" pitchFamily="34" charset="0"/>
            </a:rPr>
            <a:t>LM5155/56</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851647</xdr:colOff>
      <xdr:row>215</xdr:row>
      <xdr:rowOff>170330</xdr:rowOff>
    </xdr:from>
    <xdr:to>
      <xdr:col>14</xdr:col>
      <xdr:colOff>484094</xdr:colOff>
      <xdr:row>223</xdr:row>
      <xdr:rowOff>71719</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807388" y="26544495"/>
          <a:ext cx="3541059" cy="1335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Need to explain the placement of the Zero</a:t>
          </a:r>
          <a:r>
            <a:rPr lang="en-US" sz="1100" baseline="0"/>
            <a:t> a little bit better. The pole location should also be based on the location of the zero</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8</xdr:col>
          <xdr:colOff>57150</xdr:colOff>
          <xdr:row>154</xdr:row>
          <xdr:rowOff>133350</xdr:rowOff>
        </xdr:from>
        <xdr:to>
          <xdr:col>12</xdr:col>
          <xdr:colOff>390525</xdr:colOff>
          <xdr:row>157</xdr:row>
          <xdr:rowOff>19050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842683</xdr:colOff>
      <xdr:row>186</xdr:row>
      <xdr:rowOff>17930</xdr:rowOff>
    </xdr:from>
    <xdr:to>
      <xdr:col>14</xdr:col>
      <xdr:colOff>475130</xdr:colOff>
      <xdr:row>195</xdr:row>
      <xdr:rowOff>98613</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798424" y="23523389"/>
          <a:ext cx="3541059" cy="1335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Loop</a:t>
          </a:r>
          <a:r>
            <a:rPr lang="en-US" sz="1100" baseline="0"/>
            <a:t> compensation is calculated for the minimum input voltage. This ensure stability over the input voltage range</a:t>
          </a:r>
          <a:endParaRPr lang="en-US" sz="1100"/>
        </a:p>
      </xdr:txBody>
    </xdr:sp>
    <xdr:clientData/>
  </xdr:twoCellAnchor>
  <xdr:twoCellAnchor>
    <xdr:from>
      <xdr:col>14</xdr:col>
      <xdr:colOff>11205</xdr:colOff>
      <xdr:row>33</xdr:row>
      <xdr:rowOff>100853</xdr:rowOff>
    </xdr:from>
    <xdr:to>
      <xdr:col>18</xdr:col>
      <xdr:colOff>582705</xdr:colOff>
      <xdr:row>38</xdr:row>
      <xdr:rowOff>78441</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2920381" y="6555441"/>
          <a:ext cx="2991971" cy="930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a:t>
          </a:r>
          <a:r>
            <a:rPr lang="en-US" sz="1100" baseline="0"/>
            <a:t> Lm is </a:t>
          </a:r>
        </a:p>
        <a:p>
          <a:r>
            <a:rPr lang="en-US" sz="1100" baseline="0"/>
            <a:t>lower then each of them -&gt; CCM</a:t>
          </a:r>
        </a:p>
        <a:p>
          <a:r>
            <a:rPr lang="en-US" sz="1100" baseline="0"/>
            <a:t>Higher </a:t>
          </a:r>
          <a:r>
            <a:rPr lang="en-US" sz="1100" baseline="0">
              <a:solidFill>
                <a:schemeClr val="dk1"/>
              </a:solidFill>
              <a:effectLst/>
              <a:latin typeface="+mn-lt"/>
              <a:ea typeface="+mn-ea"/>
              <a:cs typeface="+mn-cs"/>
            </a:rPr>
            <a:t>lower then each of them </a:t>
          </a:r>
          <a:r>
            <a:rPr lang="en-US" sz="1100" baseline="0"/>
            <a:t> -&gt; DCM</a:t>
          </a:r>
        </a:p>
        <a:p>
          <a:r>
            <a:rPr lang="en-US" sz="1100" baseline="0"/>
            <a:t>else CCM and DCM </a:t>
          </a:r>
          <a:endParaRPr lang="en-US" sz="1100"/>
        </a:p>
      </xdr:txBody>
    </xdr:sp>
    <xdr:clientData/>
  </xdr:twoCellAnchor>
  <xdr:twoCellAnchor>
    <xdr:from>
      <xdr:col>13</xdr:col>
      <xdr:colOff>268941</xdr:colOff>
      <xdr:row>23</xdr:row>
      <xdr:rowOff>112059</xdr:rowOff>
    </xdr:from>
    <xdr:to>
      <xdr:col>16</xdr:col>
      <xdr:colOff>571500</xdr:colOff>
      <xdr:row>28</xdr:row>
      <xdr:rowOff>168088</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2920382" y="4661647"/>
          <a:ext cx="2330824" cy="1008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Check</a:t>
          </a:r>
          <a:r>
            <a:rPr lang="en-US" sz="1100" baseline="0"/>
            <a:t> if DC for DCM would be less the DC for CCM -&gt; in this case it would run in DCM mode</a:t>
          </a:r>
        </a:p>
        <a:p>
          <a:r>
            <a:rPr lang="en-US" sz="1100" baseline="0"/>
            <a:t>Check if at the 3 points CCM or DCM would be used</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528917</xdr:colOff>
      <xdr:row>67</xdr:row>
      <xdr:rowOff>89006</xdr:rowOff>
    </xdr:from>
    <xdr:to>
      <xdr:col>30</xdr:col>
      <xdr:colOff>79513</xdr:colOff>
      <xdr:row>86</xdr:row>
      <xdr:rowOff>92765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1051560</xdr:colOff>
      <xdr:row>49</xdr:row>
      <xdr:rowOff>45720</xdr:rowOff>
    </xdr:from>
    <xdr:to>
      <xdr:col>25</xdr:col>
      <xdr:colOff>563880</xdr:colOff>
      <xdr:row>73</xdr:row>
      <xdr:rowOff>19050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186690</xdr:colOff>
      <xdr:row>39</xdr:row>
      <xdr:rowOff>167640</xdr:rowOff>
    </xdr:from>
    <xdr:to>
      <xdr:col>34</xdr:col>
      <xdr:colOff>530487</xdr:colOff>
      <xdr:row>45</xdr:row>
      <xdr:rowOff>56599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xfrm>
          <a:off x="21541740" y="5482590"/>
          <a:ext cx="1840230" cy="1045293"/>
        </a:xfrm>
        <a:prstGeom prst="rect">
          <a:avLst/>
        </a:prstGeom>
      </xdr:spPr>
    </xdr:pic>
    <xdr:clientData/>
  </xdr:twoCellAnchor>
  <xdr:twoCellAnchor editAs="oneCell">
    <xdr:from>
      <xdr:col>34</xdr:col>
      <xdr:colOff>247650</xdr:colOff>
      <xdr:row>40</xdr:row>
      <xdr:rowOff>60960</xdr:rowOff>
    </xdr:from>
    <xdr:to>
      <xdr:col>38</xdr:col>
      <xdr:colOff>567929</xdr:colOff>
      <xdr:row>44</xdr:row>
      <xdr:rowOff>148662</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a:stretch>
          <a:fillRect/>
        </a:stretch>
      </xdr:blipFill>
      <xdr:spPr>
        <a:xfrm>
          <a:off x="23888700" y="5566410"/>
          <a:ext cx="2758679" cy="830649"/>
        </a:xfrm>
        <a:prstGeom prst="rect">
          <a:avLst/>
        </a:prstGeom>
      </xdr:spPr>
    </xdr:pic>
    <xdr:clientData/>
  </xdr:twoCellAnchor>
  <xdr:twoCellAnchor>
    <xdr:from>
      <xdr:col>31</xdr:col>
      <xdr:colOff>30480</xdr:colOff>
      <xdr:row>49</xdr:row>
      <xdr:rowOff>64770</xdr:rowOff>
    </xdr:from>
    <xdr:to>
      <xdr:col>42</xdr:col>
      <xdr:colOff>144780</xdr:colOff>
      <xdr:row>73</xdr:row>
      <xdr:rowOff>38100</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317182</xdr:colOff>
      <xdr:row>23</xdr:row>
      <xdr:rowOff>62388</xdr:rowOff>
    </xdr:from>
    <xdr:to>
      <xdr:col>24</xdr:col>
      <xdr:colOff>450532</xdr:colOff>
      <xdr:row>47</xdr:row>
      <xdr:rowOff>20478</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8325</xdr:colOff>
      <xdr:row>38</xdr:row>
      <xdr:rowOff>8964</xdr:rowOff>
    </xdr:from>
    <xdr:to>
      <xdr:col>11</xdr:col>
      <xdr:colOff>591031</xdr:colOff>
      <xdr:row>46</xdr:row>
      <xdr:rowOff>131269</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6187669" y="7533714"/>
          <a:ext cx="2571050" cy="164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 points</a:t>
          </a:r>
          <a:r>
            <a:rPr lang="en-US" sz="1100" baseline="0"/>
            <a:t> later to show where the pole and zerDc_Mode_Loopos of the loops are at. Similar to the LM5175 QS</a:t>
          </a:r>
        </a:p>
        <a:p>
          <a:endParaRPr lang="en-US" sz="1100" baseline="0"/>
        </a:p>
        <a:p>
          <a:r>
            <a:rPr lang="en-US" sz="1100" baseline="0"/>
            <a:t>Should also update to the more accurate equation of the DC gain. See Mathcad and Sheehan paper.</a:t>
          </a:r>
          <a:endParaRPr lang="en-US" sz="1100"/>
        </a:p>
      </xdr:txBody>
    </xdr:sp>
    <xdr:clientData/>
  </xdr:twoCellAnchor>
  <xdr:twoCellAnchor>
    <xdr:from>
      <xdr:col>8</xdr:col>
      <xdr:colOff>0</xdr:colOff>
      <xdr:row>52</xdr:row>
      <xdr:rowOff>13855</xdr:rowOff>
    </xdr:from>
    <xdr:to>
      <xdr:col>12</xdr:col>
      <xdr:colOff>83127</xdr:colOff>
      <xdr:row>63</xdr:row>
      <xdr:rowOff>13855</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6276109" y="8936182"/>
          <a:ext cx="2521527"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Next</a:t>
          </a:r>
          <a:r>
            <a:rPr lang="en-US" sz="1100" baseline="0"/>
            <a:t> Revision additions</a:t>
          </a:r>
        </a:p>
        <a:p>
          <a:r>
            <a:rPr lang="en-US" sz="1100" baseline="0"/>
            <a:t>- Add the effect of the EA output resistance and capacitance</a:t>
          </a:r>
        </a:p>
      </xdr:txBody>
    </xdr:sp>
    <xdr:clientData/>
  </xdr:twoCellAnchor>
  <xdr:twoCellAnchor>
    <xdr:from>
      <xdr:col>8</xdr:col>
      <xdr:colOff>291694</xdr:colOff>
      <xdr:row>12</xdr:row>
      <xdr:rowOff>113739</xdr:rowOff>
    </xdr:from>
    <xdr:to>
      <xdr:col>12</xdr:col>
      <xdr:colOff>267182</xdr:colOff>
      <xdr:row>20</xdr:row>
      <xdr:rowOff>188419</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6471038" y="2637864"/>
          <a:ext cx="2571050" cy="164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Duty Cycle</a:t>
          </a:r>
          <a:r>
            <a:rPr lang="en-US" sz="1100" baseline="0"/>
            <a:t> mode for </a:t>
          </a:r>
          <a:r>
            <a:rPr lang="en-US" sz="1100"/>
            <a:t>Loop Comenstation is fixed to</a:t>
          </a:r>
          <a:r>
            <a:rPr lang="en-US" sz="1100" baseline="0"/>
            <a:t> CCM as it stable in DCM when stable in CCM but if required could be also set to selected mode on variable Management page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548640</xdr:colOff>
      <xdr:row>8</xdr:row>
      <xdr:rowOff>0</xdr:rowOff>
    </xdr:from>
    <xdr:to>
      <xdr:col>12</xdr:col>
      <xdr:colOff>449580</xdr:colOff>
      <xdr:row>10</xdr:row>
      <xdr:rowOff>123546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269480" y="1638300"/>
          <a:ext cx="2948940" cy="489306"/>
        </a:xfrm>
        <a:prstGeom prst="rect">
          <a:avLst/>
        </a:prstGeom>
      </xdr:spPr>
    </xdr:pic>
    <xdr:clientData/>
  </xdr:twoCellAnchor>
  <xdr:twoCellAnchor editAs="oneCell">
    <xdr:from>
      <xdr:col>8</xdr:col>
      <xdr:colOff>7620</xdr:colOff>
      <xdr:row>12</xdr:row>
      <xdr:rowOff>132742</xdr:rowOff>
    </xdr:from>
    <xdr:to>
      <xdr:col>13</xdr:col>
      <xdr:colOff>350520</xdr:colOff>
      <xdr:row>16</xdr:row>
      <xdr:rowOff>76286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338060" y="2502562"/>
          <a:ext cx="3390900" cy="675064"/>
        </a:xfrm>
        <a:prstGeom prst="rect">
          <a:avLst/>
        </a:prstGeom>
      </xdr:spPr>
    </xdr:pic>
    <xdr:clientData/>
  </xdr:twoCellAnchor>
  <xdr:twoCellAnchor editAs="oneCell">
    <xdr:from>
      <xdr:col>9</xdr:col>
      <xdr:colOff>129540</xdr:colOff>
      <xdr:row>22</xdr:row>
      <xdr:rowOff>0</xdr:rowOff>
    </xdr:from>
    <xdr:to>
      <xdr:col>13</xdr:col>
      <xdr:colOff>76200</xdr:colOff>
      <xdr:row>30</xdr:row>
      <xdr:rowOff>45370</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69580" y="4198620"/>
          <a:ext cx="2385060" cy="152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9157</xdr:colOff>
      <xdr:row>3</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609599</xdr:colOff>
      <xdr:row>1</xdr:row>
      <xdr:rowOff>0</xdr:rowOff>
    </xdr:from>
    <xdr:to>
      <xdr:col>1</xdr:col>
      <xdr:colOff>5057640</xdr:colOff>
      <xdr:row>1</xdr:row>
      <xdr:rowOff>2762250</xdr:rowOff>
    </xdr:to>
    <xdr:pic>
      <xdr:nvPicPr>
        <xdr:cNvPr id="7" name="Picture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599" y="190500"/>
          <a:ext cx="5057641" cy="276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609599</xdr:colOff>
      <xdr:row>3</xdr:row>
      <xdr:rowOff>0</xdr:rowOff>
    </xdr:from>
    <xdr:to>
      <xdr:col>1</xdr:col>
      <xdr:colOff>5057640</xdr:colOff>
      <xdr:row>3</xdr:row>
      <xdr:rowOff>2762250</xdr:rowOff>
    </xdr:to>
    <xdr:pic>
      <xdr:nvPicPr>
        <xdr:cNvPr id="8" name="Picture 7">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599" y="3771900"/>
          <a:ext cx="5057641" cy="276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152400</xdr:rowOff>
    </xdr:from>
    <xdr:to>
      <xdr:col>1</xdr:col>
      <xdr:colOff>592455</xdr:colOff>
      <xdr:row>2</xdr:row>
      <xdr:rowOff>93296</xdr:rowOff>
    </xdr:to>
    <xdr:pic>
      <xdr:nvPicPr>
        <xdr:cNvPr id="2" name="Picture 1" descr="ti logo">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52400"/>
          <a:ext cx="2314575" cy="295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200025</xdr:colOff>
      <xdr:row>0</xdr:row>
      <xdr:rowOff>114300</xdr:rowOff>
    </xdr:from>
    <xdr:ext cx="3752850" cy="381708"/>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1914525" y="114300"/>
          <a:ext cx="3752850"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a:latin typeface="Arial Black" panose="020B0A04020102020204" pitchFamily="34" charset="0"/>
            </a:rPr>
            <a:t>About this tool...</a:t>
          </a:r>
        </a:p>
      </xdr:txBody>
    </xdr:sp>
    <xdr:clientData/>
  </xdr:oneCellAnchor>
  <xdr:oneCellAnchor>
    <xdr:from>
      <xdr:col>3</xdr:col>
      <xdr:colOff>323850</xdr:colOff>
      <xdr:row>1</xdr:row>
      <xdr:rowOff>28575</xdr:rowOff>
    </xdr:from>
    <xdr:ext cx="4719497" cy="254557"/>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800-000004000000}"/>
            </a:ext>
          </a:extLst>
        </xdr:cNvPr>
        <xdr:cNvSpPr txBox="1"/>
      </xdr:nvSpPr>
      <xdr:spPr>
        <a:xfrm>
          <a:off x="6419850" y="209550"/>
          <a:ext cx="471949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tx1"/>
              </a:solidFill>
              <a:effectLst/>
              <a:latin typeface="Arial" panose="020B0604020202020204" pitchFamily="34" charset="0"/>
              <a:ea typeface="+mn-ea"/>
              <a:cs typeface="Arial" panose="020B0604020202020204" pitchFamily="34" charset="0"/>
              <a:hlinkClick xmlns:r="http://schemas.openxmlformats.org/officeDocument/2006/relationships" r:id=""/>
            </a:rPr>
            <a:t>© Copyright 2021</a:t>
          </a:r>
          <a:r>
            <a:rPr lang="en-US" sz="1100" b="0" i="0">
              <a:solidFill>
                <a:schemeClr val="tx1"/>
              </a:solidFill>
              <a:effectLst/>
              <a:latin typeface="Arial" panose="020B0604020202020204" pitchFamily="34" charset="0"/>
              <a:ea typeface="+mn-ea"/>
              <a:cs typeface="Arial" panose="020B0604020202020204" pitchFamily="34" charset="0"/>
            </a:rPr>
            <a:t> Texas Instruments Incorporated. All rights reserved.</a:t>
          </a:r>
          <a:endParaRPr lang="en-US" sz="1100" b="0">
            <a:latin typeface="Arial" panose="020B0604020202020204" pitchFamily="34" charset="0"/>
            <a:cs typeface="Arial" panose="020B0604020202020204" pitchFamily="34" charset="0"/>
          </a:endParaRPr>
        </a:p>
      </xdr:txBody>
    </xdr:sp>
    <xdr:clientData/>
  </xdr:oneCellAnchor>
  <xdr:oneCellAnchor>
    <xdr:from>
      <xdr:col>0</xdr:col>
      <xdr:colOff>95247</xdr:colOff>
      <xdr:row>6</xdr:row>
      <xdr:rowOff>47623</xdr:rowOff>
    </xdr:from>
    <xdr:ext cx="11229977" cy="4086227"/>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95247" y="1114423"/>
          <a:ext cx="11229977" cy="4086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latin typeface="Arial" panose="020B0604020202020204" pitchFamily="34" charset="0"/>
              <a:cs typeface="Arial" panose="020B0604020202020204" pitchFamily="34" charset="0"/>
            </a:rPr>
            <a:t>LICENSE INFORMATION:</a:t>
          </a:r>
        </a:p>
        <a:p>
          <a:r>
            <a:rPr lang="en-US" sz="900">
              <a:solidFill>
                <a:schemeClr val="tx1"/>
              </a:solidFill>
              <a:effectLst/>
              <a:latin typeface="Arial" panose="020B0604020202020204" pitchFamily="34" charset="0"/>
              <a:ea typeface="+mn-ea"/>
              <a:cs typeface="Arial" panose="020B0604020202020204" pitchFamily="34" charset="0"/>
            </a:rPr>
            <a:t>Copyright (c) 2021 Texas Instruments Incorporated</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All rights reserved not granted herein.</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Limited License.  </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Redistributions must preserve existing copyright notices and reproduce this license (including the above copyright notice and the disclaimer and (if applicable) source code license limitations below) in the documentation and/or other materials provided with the distribution</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Redistribution and use in binary form, without modification, are permitted provided that the following conditions are met:</a:t>
          </a:r>
        </a:p>
        <a:p>
          <a:r>
            <a:rPr lang="en-US" sz="900">
              <a:solidFill>
                <a:schemeClr val="tx1"/>
              </a:solidFill>
              <a:effectLst/>
              <a:latin typeface="Arial" panose="020B0604020202020204" pitchFamily="34" charset="0"/>
              <a:ea typeface="+mn-ea"/>
              <a:cs typeface="Arial" panose="020B0604020202020204" pitchFamily="34" charset="0"/>
            </a:rPr>
            <a:t>*	No reverse engineering, decompilation, or disassembly of this software is permitted with respect to any software provided in binary form. </a:t>
          </a:r>
        </a:p>
        <a:p>
          <a:r>
            <a:rPr lang="en-US" sz="900">
              <a:solidFill>
                <a:schemeClr val="tx1"/>
              </a:solidFill>
              <a:effectLst/>
              <a:latin typeface="Arial" panose="020B0604020202020204" pitchFamily="34" charset="0"/>
              <a:ea typeface="+mn-ea"/>
              <a:cs typeface="Arial" panose="020B0604020202020204" pitchFamily="34" charset="0"/>
            </a:rPr>
            <a:t>*	Any redistribution and use are licensed by TI for use only with TI Devices.</a:t>
          </a:r>
        </a:p>
        <a:p>
          <a:r>
            <a:rPr lang="en-US" sz="900">
              <a:solidFill>
                <a:schemeClr val="tx1"/>
              </a:solidFill>
              <a:effectLst/>
              <a:latin typeface="Arial" panose="020B0604020202020204" pitchFamily="34" charset="0"/>
              <a:ea typeface="+mn-ea"/>
              <a:cs typeface="Arial" panose="020B0604020202020204" pitchFamily="34" charset="0"/>
            </a:rPr>
            <a:t>*	Nothing shall obligate TI to provide you with source code for the software licensed and provided to you in object code.</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If software source code is provided to you, modification and redistribution of the source code are permitted provided that the following conditions are met:</a:t>
          </a:r>
        </a:p>
        <a:p>
          <a:r>
            <a:rPr lang="en-US" sz="900">
              <a:solidFill>
                <a:schemeClr val="tx1"/>
              </a:solidFill>
              <a:effectLst/>
              <a:latin typeface="Arial" panose="020B0604020202020204" pitchFamily="34" charset="0"/>
              <a:ea typeface="+mn-ea"/>
              <a:cs typeface="Arial" panose="020B0604020202020204" pitchFamily="34" charset="0"/>
            </a:rPr>
            <a:t>*	Any redistribution and use of the source code, including any resulting derivative works, are licensed by TI for use only with TI Devices.</a:t>
          </a:r>
        </a:p>
        <a:p>
          <a:r>
            <a:rPr lang="en-US" sz="900">
              <a:solidFill>
                <a:schemeClr val="tx1"/>
              </a:solidFill>
              <a:effectLst/>
              <a:latin typeface="Arial" panose="020B0604020202020204" pitchFamily="34" charset="0"/>
              <a:ea typeface="+mn-ea"/>
              <a:cs typeface="Arial" panose="020B0604020202020204" pitchFamily="34" charset="0"/>
            </a:rPr>
            <a:t>*	Any redistribution and use of any object code compiled from the source code and any resulting derivative works, are licensed by TI for use only with TI Devices.</a:t>
          </a:r>
        </a:p>
        <a:p>
          <a:endParaRPr lang="en-US" sz="900">
            <a:solidFill>
              <a:schemeClr val="tx1"/>
            </a:solidFill>
            <a:effectLst/>
            <a:latin typeface="Arial" panose="020B0604020202020204" pitchFamily="34" charset="0"/>
            <a:ea typeface="+mn-ea"/>
            <a:cs typeface="Arial" panose="020B0604020202020204" pitchFamily="34" charset="0"/>
          </a:endParaRPr>
        </a:p>
        <a:p>
          <a:r>
            <a:rPr lang="en-US" sz="900">
              <a:solidFill>
                <a:schemeClr val="tx1"/>
              </a:solidFill>
              <a:effectLst/>
              <a:latin typeface="Arial" panose="020B0604020202020204" pitchFamily="34" charset="0"/>
              <a:ea typeface="+mn-ea"/>
              <a:cs typeface="Arial" panose="020B0604020202020204" pitchFamily="34" charset="0"/>
            </a:rPr>
            <a:t>Neither the name of Texas Instruments Incorporated nor the names of its suppliers may be used to endorse or promote products derived from this software without specific prior written permission.</a:t>
          </a:r>
          <a:endParaRPr lang="en-US" sz="1000" b="1">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000" baseline="0">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DISCLAMER:</a:t>
          </a:r>
        </a:p>
        <a:p>
          <a:pPr marL="0" marR="0" indent="0" defTabSz="914400" eaLnBrk="1" fontAlgn="auto" latinLnBrk="0" hangingPunct="1">
            <a:lnSpc>
              <a:spcPct val="100000"/>
            </a:lnSpc>
            <a:spcBef>
              <a:spcPts val="0"/>
            </a:spcBef>
            <a:spcAft>
              <a:spcPts val="0"/>
            </a:spcAft>
            <a:buClrTx/>
            <a:buSzTx/>
            <a:buFontTx/>
            <a:buNone/>
            <a:tabLst/>
            <a:defRPr/>
          </a:pPr>
          <a:r>
            <a:rPr lang="en-US" sz="800" baseline="0">
              <a:latin typeface="Arial" panose="020B0604020202020204" pitchFamily="34" charset="0"/>
              <a:cs typeface="Arial" panose="020B0604020202020204" pitchFamily="34" charset="0"/>
            </a:rPr>
            <a:t>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a:t>
          </a:r>
        </a:p>
      </xdr:txBody>
    </xdr:sp>
    <xdr:clientData/>
  </xdr:oneCellAnchor>
  <xdr:oneCellAnchor>
    <xdr:from>
      <xdr:col>0</xdr:col>
      <xdr:colOff>95247</xdr:colOff>
      <xdr:row>29</xdr:row>
      <xdr:rowOff>47623</xdr:rowOff>
    </xdr:from>
    <xdr:ext cx="11229977" cy="809627"/>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95247" y="5276848"/>
          <a:ext cx="11229977" cy="809627"/>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IMPORTANT</a:t>
          </a:r>
          <a:r>
            <a:rPr lang="en-US" sz="1100" b="1" baseline="0">
              <a:solidFill>
                <a:schemeClr val="tx1"/>
              </a:solidFill>
              <a:effectLst/>
              <a:latin typeface="+mn-lt"/>
              <a:ea typeface="+mn-ea"/>
              <a:cs typeface="+mn-cs"/>
            </a:rPr>
            <a:t>:   </a:t>
          </a:r>
          <a:endParaRPr lang="en-US" sz="800">
            <a:effectLst/>
          </a:endParaRPr>
        </a:p>
        <a:p>
          <a:r>
            <a:rPr lang="en-US" sz="1100" baseline="0">
              <a:solidFill>
                <a:schemeClr val="tx1"/>
              </a:solidFill>
              <a:effectLst/>
              <a:latin typeface="+mn-lt"/>
              <a:ea typeface="+mn-ea"/>
              <a:cs typeface="+mn-cs"/>
            </a:rPr>
            <a:t>1.  Do not delete this worksheet!</a:t>
          </a:r>
          <a:endParaRPr lang="en-US" sz="800">
            <a:effectLst/>
          </a:endParaRPr>
        </a:p>
        <a:p>
          <a:pPr eaLnBrk="1" fontAlgn="auto" latinLnBrk="0" hangingPunct="1"/>
          <a:r>
            <a:rPr lang="en-US" sz="1100" baseline="0">
              <a:solidFill>
                <a:schemeClr val="tx1"/>
              </a:solidFill>
              <a:effectLst/>
              <a:latin typeface="+mn-lt"/>
              <a:ea typeface="+mn-ea"/>
              <a:cs typeface="+mn-cs"/>
            </a:rPr>
            <a:t>2.  Redistributions must retain the above copyright and the following disclaimer.</a:t>
          </a:r>
          <a:endParaRPr lang="en-US" sz="800">
            <a:effectLst/>
          </a:endParaRPr>
        </a:p>
        <a:p>
          <a:endParaRPr lang="en-US" sz="800" baseline="0">
            <a:latin typeface="Arial" panose="020B0604020202020204" pitchFamily="34" charset="0"/>
            <a:cs typeface="Arial" panose="020B060402020202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0196876/Downloads/ADS1235%20Design%20Calcul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
      <sheetName val="Common-Mode Range"/>
      <sheetName val="Code Conversions"/>
      <sheetName val="Digital Filter"/>
      <sheetName val="STATUS"/>
      <sheetName val="CRC"/>
      <sheetName val="About"/>
      <sheetName val="Help"/>
    </sheetNames>
    <sheetDataSet>
      <sheetData sheetId="0" refreshError="1"/>
      <sheetData sheetId="1" refreshError="1"/>
      <sheetData sheetId="2" refreshError="1"/>
      <sheetData sheetId="3">
        <row r="84">
          <cell r="T84" t="b">
            <v>0</v>
          </cell>
        </row>
      </sheetData>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AA100"/>
  <sheetViews>
    <sheetView tabSelected="1" topLeftCell="A47" zoomScaleNormal="100" workbookViewId="0">
      <selection activeCell="H71" sqref="H71"/>
    </sheetView>
  </sheetViews>
  <sheetFormatPr defaultColWidth="8.85546875" defaultRowHeight="15" x14ac:dyDescent="0.25"/>
  <cols>
    <col min="1" max="5" width="8.85546875" style="57" customWidth="1"/>
    <col min="6" max="6" width="12.7109375" style="57" bestFit="1" customWidth="1"/>
    <col min="7" max="7" width="8.85546875" style="113" customWidth="1"/>
    <col min="8" max="8" width="12" style="57" bestFit="1" customWidth="1"/>
    <col min="9" max="9" width="4.28515625" style="57" bestFit="1" customWidth="1"/>
    <col min="10" max="10" width="4.7109375" style="57" customWidth="1"/>
    <col min="11" max="21" width="8.85546875" style="57" customWidth="1"/>
    <col min="22" max="22" width="7.28515625" style="57" customWidth="1"/>
    <col min="23" max="26" width="8.85546875" style="57" customWidth="1"/>
    <col min="27" max="27" width="1.7109375" style="114" customWidth="1"/>
    <col min="28" max="16384" width="8.85546875" style="57"/>
  </cols>
  <sheetData>
    <row r="1" spans="1:27" ht="46.9" customHeight="1" x14ac:dyDescent="0.25">
      <c r="A1" s="53"/>
      <c r="B1" s="53"/>
      <c r="C1" s="53"/>
      <c r="D1" s="53"/>
      <c r="E1" s="54" t="s">
        <v>579</v>
      </c>
      <c r="F1" s="53"/>
      <c r="G1" s="55"/>
      <c r="H1" s="53"/>
      <c r="I1" s="53"/>
      <c r="J1" s="53"/>
      <c r="K1" s="53"/>
      <c r="L1" s="53"/>
      <c r="M1" s="53"/>
      <c r="N1" s="53"/>
      <c r="O1" s="53"/>
      <c r="P1" s="53"/>
      <c r="Q1" s="53"/>
      <c r="R1" s="53"/>
      <c r="S1" s="53"/>
      <c r="T1" s="53"/>
      <c r="U1" s="53"/>
      <c r="V1" s="53"/>
      <c r="W1" s="53"/>
      <c r="X1" s="53"/>
      <c r="Y1" s="53"/>
      <c r="Z1" s="53"/>
      <c r="AA1" s="56"/>
    </row>
    <row r="2" spans="1:27" x14ac:dyDescent="0.25">
      <c r="A2" s="58"/>
      <c r="B2" s="58"/>
      <c r="C2" s="58"/>
      <c r="D2" s="58"/>
      <c r="E2" s="58"/>
      <c r="F2" s="58"/>
      <c r="G2" s="59"/>
      <c r="H2" s="58"/>
      <c r="I2" s="58"/>
      <c r="J2" s="58"/>
      <c r="K2" s="58"/>
      <c r="L2" s="58"/>
      <c r="M2" s="58"/>
      <c r="N2" s="58"/>
      <c r="O2" s="58"/>
      <c r="P2" s="58"/>
      <c r="Q2" s="58"/>
      <c r="R2" s="58"/>
      <c r="S2" s="58"/>
      <c r="T2" s="58"/>
      <c r="U2" s="58"/>
      <c r="V2" s="58"/>
      <c r="W2" s="58"/>
      <c r="X2" s="58"/>
      <c r="Y2" s="58"/>
      <c r="Z2" s="58"/>
      <c r="AA2" s="56"/>
    </row>
    <row r="3" spans="1:27" x14ac:dyDescent="0.25">
      <c r="A3" s="60" t="s">
        <v>1</v>
      </c>
      <c r="B3" s="58"/>
      <c r="C3" s="58"/>
      <c r="D3" s="58"/>
      <c r="E3" s="61"/>
      <c r="F3" s="62" t="s">
        <v>2</v>
      </c>
      <c r="G3" s="59"/>
      <c r="H3" s="58"/>
      <c r="I3" s="58"/>
      <c r="J3" s="58"/>
      <c r="K3" s="58"/>
      <c r="L3" s="58"/>
      <c r="M3" s="58"/>
      <c r="N3" s="228" t="s">
        <v>0</v>
      </c>
      <c r="O3" s="228"/>
      <c r="P3" s="58"/>
      <c r="Q3" s="58"/>
      <c r="R3" s="58"/>
      <c r="S3" s="58"/>
      <c r="T3" s="58"/>
      <c r="U3" s="58"/>
      <c r="V3" s="58"/>
      <c r="W3" s="58"/>
      <c r="X3" s="58"/>
      <c r="Y3" s="58"/>
      <c r="Z3" s="58"/>
      <c r="AA3" s="56"/>
    </row>
    <row r="4" spans="1:27" s="66" customFormat="1" x14ac:dyDescent="0.25">
      <c r="A4" s="63"/>
      <c r="B4" s="63"/>
      <c r="C4" s="63"/>
      <c r="D4" s="63"/>
      <c r="E4" s="63"/>
      <c r="F4" s="63"/>
      <c r="G4" s="64"/>
      <c r="H4" s="63"/>
      <c r="I4" s="63"/>
      <c r="J4" s="63"/>
      <c r="K4" s="63"/>
      <c r="L4" s="63"/>
      <c r="M4" s="63"/>
      <c r="N4" s="63"/>
      <c r="O4" s="63"/>
      <c r="P4" s="63"/>
      <c r="Q4" s="63"/>
      <c r="R4" s="63"/>
      <c r="S4" s="63"/>
      <c r="T4" s="63"/>
      <c r="U4" s="63"/>
      <c r="V4" s="63"/>
      <c r="W4" s="63"/>
      <c r="X4" s="63"/>
      <c r="Y4" s="63"/>
      <c r="Z4" s="63"/>
      <c r="AA4" s="65"/>
    </row>
    <row r="5" spans="1:27" x14ac:dyDescent="0.25">
      <c r="A5" s="67"/>
      <c r="B5" s="67"/>
      <c r="C5" s="67"/>
      <c r="D5" s="67"/>
      <c r="E5" s="67"/>
      <c r="F5" s="67"/>
      <c r="G5" s="68"/>
      <c r="H5" s="67"/>
      <c r="I5" s="67"/>
      <c r="J5" s="67"/>
      <c r="K5" s="67"/>
      <c r="L5" s="67"/>
      <c r="M5" s="67"/>
      <c r="N5" s="67" t="s">
        <v>577</v>
      </c>
      <c r="O5" s="69" t="s">
        <v>578</v>
      </c>
      <c r="P5" s="67"/>
      <c r="Q5" s="67"/>
      <c r="R5" s="67"/>
      <c r="S5" s="67"/>
      <c r="T5" s="67"/>
      <c r="U5" s="67"/>
      <c r="V5" s="67"/>
      <c r="W5" s="67"/>
      <c r="X5" s="67"/>
      <c r="Y5" s="67"/>
      <c r="Z5" s="67"/>
      <c r="AA5" s="56"/>
    </row>
    <row r="6" spans="1:27" ht="15.75" thickBot="1" x14ac:dyDescent="0.3">
      <c r="A6" s="70" t="s">
        <v>3</v>
      </c>
      <c r="B6" s="67"/>
      <c r="C6" s="67"/>
      <c r="D6" s="67"/>
      <c r="E6" s="67"/>
      <c r="F6" s="67"/>
      <c r="G6" s="68"/>
      <c r="H6" s="67"/>
      <c r="I6" s="67"/>
      <c r="J6" s="67"/>
      <c r="K6" s="67"/>
      <c r="L6" s="67"/>
      <c r="M6" s="67"/>
      <c r="N6" s="67"/>
      <c r="O6" s="67"/>
      <c r="P6" s="67"/>
      <c r="Q6" s="67"/>
      <c r="R6" s="67"/>
      <c r="S6" s="67"/>
      <c r="T6" s="67"/>
      <c r="U6" s="67"/>
      <c r="V6" s="67"/>
      <c r="W6" s="67"/>
      <c r="X6" s="67"/>
      <c r="Y6" s="67"/>
      <c r="Z6" s="67"/>
      <c r="AA6" s="56"/>
    </row>
    <row r="7" spans="1:27" x14ac:dyDescent="0.25">
      <c r="A7" s="71"/>
      <c r="B7" s="72"/>
      <c r="C7" s="72"/>
      <c r="D7" s="72"/>
      <c r="E7" s="72"/>
      <c r="F7" s="72"/>
      <c r="G7" s="73" t="s">
        <v>4</v>
      </c>
      <c r="H7" s="116">
        <v>8</v>
      </c>
      <c r="I7" s="74" t="s">
        <v>10</v>
      </c>
      <c r="J7" s="67"/>
      <c r="K7" s="67"/>
      <c r="L7" s="67"/>
      <c r="M7" s="67"/>
      <c r="N7" s="67"/>
      <c r="O7" s="67"/>
      <c r="P7" s="67"/>
      <c r="Q7" s="67"/>
      <c r="R7" s="67"/>
      <c r="S7" s="67"/>
      <c r="T7" s="67"/>
      <c r="U7" s="67"/>
      <c r="V7" s="67"/>
      <c r="W7" s="67"/>
      <c r="X7" s="67"/>
      <c r="Y7" s="67"/>
      <c r="Z7" s="67"/>
      <c r="AA7" s="56"/>
    </row>
    <row r="8" spans="1:27" x14ac:dyDescent="0.25">
      <c r="A8" s="75"/>
      <c r="B8" s="67"/>
      <c r="C8" s="67"/>
      <c r="D8" s="67"/>
      <c r="E8" s="67"/>
      <c r="F8" s="67"/>
      <c r="G8" s="76" t="s">
        <v>5</v>
      </c>
      <c r="H8" s="117">
        <v>24</v>
      </c>
      <c r="I8" s="77" t="s">
        <v>10</v>
      </c>
      <c r="J8" s="67"/>
      <c r="K8" s="67"/>
      <c r="L8" s="67"/>
      <c r="M8" s="67"/>
      <c r="N8" s="67"/>
      <c r="O8" s="67"/>
      <c r="P8" s="67"/>
      <c r="Q8" s="67"/>
      <c r="R8" s="67"/>
      <c r="S8" s="67"/>
      <c r="T8" s="67"/>
      <c r="U8" s="67"/>
      <c r="V8" s="67"/>
      <c r="W8" s="67"/>
      <c r="X8" s="67"/>
      <c r="Y8" s="67"/>
      <c r="Z8" s="67"/>
      <c r="AA8" s="56"/>
    </row>
    <row r="9" spans="1:27" x14ac:dyDescent="0.25">
      <c r="A9" s="75"/>
      <c r="B9" s="67"/>
      <c r="C9" s="67"/>
      <c r="D9" s="67"/>
      <c r="E9" s="67"/>
      <c r="F9" s="67"/>
      <c r="G9" s="76" t="s">
        <v>6</v>
      </c>
      <c r="H9" s="117">
        <v>24</v>
      </c>
      <c r="I9" s="77" t="s">
        <v>10</v>
      </c>
      <c r="J9" s="67"/>
      <c r="K9" s="67"/>
      <c r="L9" s="67"/>
      <c r="M9" s="67"/>
      <c r="N9" s="67"/>
      <c r="O9" s="67"/>
      <c r="P9" s="67"/>
      <c r="Q9" s="67"/>
      <c r="R9" s="67"/>
      <c r="S9" s="67"/>
      <c r="T9" s="67"/>
      <c r="U9" s="67"/>
      <c r="V9" s="67"/>
      <c r="W9" s="67"/>
      <c r="X9" s="67"/>
      <c r="Y9" s="67"/>
      <c r="Z9" s="67"/>
      <c r="AA9" s="56"/>
    </row>
    <row r="10" spans="1:27" x14ac:dyDescent="0.25">
      <c r="A10" s="75"/>
      <c r="B10" s="67"/>
      <c r="C10" s="67"/>
      <c r="D10" s="67"/>
      <c r="E10" s="67"/>
      <c r="F10" s="67"/>
      <c r="G10" s="76" t="s">
        <v>540</v>
      </c>
      <c r="H10" s="117">
        <v>30</v>
      </c>
      <c r="I10" s="77" t="s">
        <v>10</v>
      </c>
      <c r="J10" s="67"/>
      <c r="K10" s="67"/>
      <c r="L10" s="67"/>
      <c r="M10" s="67"/>
      <c r="N10" s="67"/>
      <c r="O10" s="67"/>
      <c r="P10" s="67"/>
      <c r="Q10" s="67"/>
      <c r="R10" s="67"/>
      <c r="S10" s="67"/>
      <c r="T10" s="67"/>
      <c r="U10" s="67"/>
      <c r="V10" s="67"/>
      <c r="W10" s="67"/>
      <c r="X10" s="67"/>
      <c r="Y10" s="67"/>
      <c r="Z10" s="67"/>
      <c r="AA10" s="56"/>
    </row>
    <row r="11" spans="1:27" x14ac:dyDescent="0.25">
      <c r="A11" s="75"/>
      <c r="B11" s="67"/>
      <c r="C11" s="67"/>
      <c r="D11" s="67"/>
      <c r="E11" s="67"/>
      <c r="F11" s="67"/>
      <c r="G11" s="76" t="s">
        <v>7</v>
      </c>
      <c r="H11" s="117">
        <v>2</v>
      </c>
      <c r="I11" s="77" t="s">
        <v>11</v>
      </c>
      <c r="J11" s="67"/>
      <c r="K11" s="67"/>
      <c r="L11" s="67"/>
      <c r="M11" s="67"/>
      <c r="N11" s="67"/>
      <c r="O11" s="67"/>
      <c r="P11" s="67"/>
      <c r="Q11" s="67"/>
      <c r="R11" s="67"/>
      <c r="S11" s="67"/>
      <c r="T11" s="67"/>
      <c r="U11" s="67"/>
      <c r="V11" s="67"/>
      <c r="W11" s="67"/>
      <c r="X11" s="67"/>
      <c r="Y11" s="67"/>
      <c r="Z11" s="67"/>
      <c r="AA11" s="56"/>
    </row>
    <row r="12" spans="1:27" x14ac:dyDescent="0.25">
      <c r="A12" s="75"/>
      <c r="B12" s="67"/>
      <c r="C12" s="67"/>
      <c r="D12" s="67"/>
      <c r="E12" s="67"/>
      <c r="F12" s="67"/>
      <c r="G12" s="76" t="s">
        <v>8</v>
      </c>
      <c r="H12" s="117">
        <v>750</v>
      </c>
      <c r="I12" s="77" t="s">
        <v>12</v>
      </c>
      <c r="J12" s="67"/>
      <c r="K12" s="67"/>
      <c r="L12" s="67"/>
      <c r="M12" s="67"/>
      <c r="N12" s="67"/>
      <c r="O12" s="67"/>
      <c r="P12" s="67"/>
      <c r="Q12" s="67"/>
      <c r="R12" s="67"/>
      <c r="S12" s="67"/>
      <c r="T12" s="67"/>
      <c r="U12" s="67"/>
      <c r="V12" s="67"/>
      <c r="W12" s="67"/>
      <c r="X12" s="67"/>
      <c r="Y12" s="67"/>
      <c r="Z12" s="67"/>
      <c r="AA12" s="56"/>
    </row>
    <row r="13" spans="1:27" x14ac:dyDescent="0.25">
      <c r="A13" s="75"/>
      <c r="B13" s="67"/>
      <c r="C13" s="67"/>
      <c r="D13" s="67"/>
      <c r="E13" s="67"/>
      <c r="F13" s="67"/>
      <c r="G13" s="76" t="s">
        <v>75</v>
      </c>
      <c r="H13" s="118">
        <f>RT/1000</f>
        <v>28.511666666666667</v>
      </c>
      <c r="I13" s="77" t="s">
        <v>76</v>
      </c>
      <c r="J13" s="67"/>
      <c r="K13" s="67"/>
      <c r="L13" s="67"/>
      <c r="M13" s="67"/>
      <c r="N13" s="67"/>
      <c r="O13" s="67"/>
      <c r="P13" s="67"/>
      <c r="Q13" s="67"/>
      <c r="R13" s="67"/>
      <c r="S13" s="67"/>
      <c r="T13" s="67"/>
      <c r="U13" s="67"/>
      <c r="V13" s="67"/>
      <c r="W13" s="67"/>
      <c r="X13" s="67"/>
      <c r="Y13" s="67"/>
      <c r="Z13" s="67"/>
      <c r="AA13" s="56"/>
    </row>
    <row r="14" spans="1:27" x14ac:dyDescent="0.25">
      <c r="A14" s="75"/>
      <c r="B14" s="67"/>
      <c r="C14" s="67"/>
      <c r="D14" s="67"/>
      <c r="E14" s="67"/>
      <c r="F14" s="67"/>
      <c r="G14" s="76" t="s">
        <v>9</v>
      </c>
      <c r="H14" s="117">
        <v>90</v>
      </c>
      <c r="I14" s="77" t="s">
        <v>13</v>
      </c>
      <c r="J14" s="67"/>
      <c r="K14" s="67"/>
      <c r="L14" s="67"/>
      <c r="M14" s="67"/>
      <c r="N14" s="67"/>
      <c r="O14" s="67"/>
      <c r="P14" s="67"/>
      <c r="Q14" s="67"/>
      <c r="R14" s="67"/>
      <c r="S14" s="67"/>
      <c r="T14" s="67"/>
      <c r="U14" s="67"/>
      <c r="V14" s="67"/>
      <c r="W14" s="67"/>
      <c r="X14" s="67"/>
      <c r="Y14" s="67"/>
      <c r="Z14" s="67"/>
      <c r="AA14" s="56"/>
    </row>
    <row r="15" spans="1:27" x14ac:dyDescent="0.25">
      <c r="A15" s="75"/>
      <c r="B15" s="67"/>
      <c r="C15" s="67"/>
      <c r="D15" s="67"/>
      <c r="E15" s="67"/>
      <c r="F15" s="67"/>
      <c r="G15" s="76" t="s">
        <v>14</v>
      </c>
      <c r="H15" s="119">
        <f>POUT</f>
        <v>60</v>
      </c>
      <c r="I15" s="77" t="s">
        <v>38</v>
      </c>
      <c r="J15" s="67"/>
      <c r="K15" s="67"/>
      <c r="L15" s="67"/>
      <c r="M15" s="67"/>
      <c r="N15" s="67"/>
      <c r="O15" s="67"/>
      <c r="P15" s="67"/>
      <c r="Q15" s="67"/>
      <c r="R15" s="67"/>
      <c r="S15" s="67"/>
      <c r="T15" s="67"/>
      <c r="U15" s="67"/>
      <c r="V15" s="67"/>
      <c r="W15" s="67"/>
      <c r="X15" s="67"/>
      <c r="Y15" s="67"/>
      <c r="Z15" s="67"/>
      <c r="AA15" s="56"/>
    </row>
    <row r="16" spans="1:27" x14ac:dyDescent="0.25">
      <c r="A16" s="78"/>
      <c r="B16" s="79"/>
      <c r="C16" s="79"/>
      <c r="D16" s="79"/>
      <c r="E16" s="79"/>
      <c r="F16" s="67"/>
      <c r="G16" s="80" t="s">
        <v>486</v>
      </c>
      <c r="H16" s="119">
        <f>Dc_max_IC*100</f>
        <v>93</v>
      </c>
      <c r="I16" s="77" t="s">
        <v>13</v>
      </c>
      <c r="J16" s="67"/>
      <c r="K16" s="67"/>
      <c r="L16" s="67"/>
      <c r="M16" s="67"/>
      <c r="N16" s="67"/>
      <c r="O16" s="67"/>
      <c r="P16" s="67"/>
      <c r="Q16" s="67"/>
      <c r="R16" s="67"/>
      <c r="S16" s="67"/>
      <c r="T16" s="67"/>
      <c r="U16" s="67"/>
      <c r="V16" s="67"/>
      <c r="W16" s="67"/>
      <c r="X16" s="67"/>
      <c r="Y16" s="67"/>
      <c r="Z16" s="67"/>
      <c r="AA16" s="56"/>
    </row>
    <row r="17" spans="1:27" ht="15.75" thickBot="1" x14ac:dyDescent="0.3">
      <c r="A17" s="78"/>
      <c r="B17" s="79"/>
      <c r="C17" s="79"/>
      <c r="D17" s="79"/>
      <c r="E17" s="79"/>
      <c r="F17" s="67"/>
      <c r="G17" s="80" t="s">
        <v>518</v>
      </c>
      <c r="H17" s="142">
        <f>Variable_Management!B39*100</f>
        <v>73.333333333333343</v>
      </c>
      <c r="I17" s="77" t="s">
        <v>13</v>
      </c>
      <c r="J17" s="67"/>
      <c r="K17" s="67"/>
      <c r="L17" s="67"/>
      <c r="M17" s="67"/>
      <c r="N17" s="67"/>
      <c r="O17" s="67"/>
      <c r="P17" s="67"/>
      <c r="Q17" s="67"/>
      <c r="R17" s="67"/>
      <c r="S17" s="67"/>
      <c r="T17" s="67"/>
      <c r="U17" s="67"/>
      <c r="V17" s="67"/>
      <c r="W17" s="67"/>
      <c r="X17" s="67"/>
      <c r="Y17" s="67"/>
      <c r="Z17" s="67"/>
      <c r="AA17" s="56"/>
    </row>
    <row r="18" spans="1:27" ht="15.75" thickBot="1" x14ac:dyDescent="0.3">
      <c r="A18" s="81"/>
      <c r="B18" s="82"/>
      <c r="C18" s="82"/>
      <c r="D18" s="82"/>
      <c r="E18" s="82"/>
      <c r="F18" s="83"/>
      <c r="G18" s="84" t="s">
        <v>522</v>
      </c>
      <c r="H18" s="138" t="s">
        <v>495</v>
      </c>
      <c r="I18" s="85"/>
      <c r="J18" s="67"/>
      <c r="K18" s="67"/>
      <c r="L18" s="67"/>
      <c r="M18" s="67"/>
      <c r="N18" s="67"/>
      <c r="O18" s="67"/>
      <c r="P18" s="67"/>
      <c r="Q18" s="67"/>
      <c r="R18" s="67"/>
      <c r="S18" s="67"/>
      <c r="T18" s="67"/>
      <c r="U18" s="67"/>
      <c r="V18" s="67"/>
      <c r="W18" s="67"/>
      <c r="X18" s="67"/>
      <c r="Y18" s="67"/>
      <c r="Z18" s="67"/>
      <c r="AA18" s="56"/>
    </row>
    <row r="19" spans="1:27" x14ac:dyDescent="0.25">
      <c r="A19" s="79"/>
      <c r="B19" s="79"/>
      <c r="C19" s="79"/>
      <c r="D19" s="79"/>
      <c r="E19" s="79"/>
      <c r="F19" s="67"/>
      <c r="G19" s="68"/>
      <c r="H19" s="67"/>
      <c r="I19" s="67"/>
      <c r="J19" s="67"/>
      <c r="K19" s="67"/>
      <c r="L19" s="67"/>
      <c r="M19" s="67"/>
      <c r="N19" s="67"/>
      <c r="O19" s="67"/>
      <c r="P19" s="67"/>
      <c r="Q19" s="67"/>
      <c r="R19" s="67"/>
      <c r="S19" s="67"/>
      <c r="T19" s="67"/>
      <c r="U19" s="67"/>
      <c r="V19" s="67"/>
      <c r="W19" s="67"/>
      <c r="X19" s="67"/>
      <c r="Y19" s="67"/>
      <c r="Z19" s="67"/>
      <c r="AA19" s="56"/>
    </row>
    <row r="20" spans="1:27" ht="15.75" thickBot="1" x14ac:dyDescent="0.3">
      <c r="A20" s="70" t="s">
        <v>77</v>
      </c>
      <c r="B20" s="79"/>
      <c r="C20" s="79"/>
      <c r="D20" s="79"/>
      <c r="E20" s="79"/>
      <c r="F20" s="67"/>
      <c r="G20" s="68"/>
      <c r="H20" s="67"/>
      <c r="I20" s="67"/>
      <c r="J20" s="67"/>
      <c r="K20" s="67"/>
      <c r="L20" s="67"/>
      <c r="M20" s="67"/>
      <c r="N20" s="67"/>
      <c r="O20" s="67"/>
      <c r="P20" s="67"/>
      <c r="Q20" s="67"/>
      <c r="R20" s="67"/>
      <c r="S20" s="67"/>
      <c r="T20" s="67"/>
      <c r="U20" s="67"/>
      <c r="V20" s="67"/>
      <c r="W20" s="67"/>
      <c r="X20" s="67"/>
      <c r="Y20" s="67"/>
      <c r="Z20" s="67"/>
      <c r="AA20" s="56"/>
    </row>
    <row r="21" spans="1:27" x14ac:dyDescent="0.25">
      <c r="A21" s="86"/>
      <c r="B21" s="87"/>
      <c r="C21" s="87"/>
      <c r="D21" s="87"/>
      <c r="E21" s="87"/>
      <c r="F21" s="72"/>
      <c r="G21" s="73" t="s">
        <v>487</v>
      </c>
      <c r="H21" s="116">
        <v>60</v>
      </c>
      <c r="I21" s="74" t="s">
        <v>13</v>
      </c>
      <c r="J21" s="67"/>
      <c r="K21" s="67"/>
      <c r="L21" s="67"/>
      <c r="M21" s="67"/>
      <c r="N21" s="67"/>
      <c r="O21" s="67"/>
      <c r="P21" s="67"/>
      <c r="Q21" s="67"/>
      <c r="R21" s="67"/>
      <c r="S21" s="67"/>
      <c r="T21" s="67"/>
      <c r="U21" s="67"/>
      <c r="V21" s="67"/>
      <c r="W21" s="67"/>
      <c r="X21" s="67"/>
      <c r="Y21" s="67"/>
      <c r="Z21" s="67"/>
      <c r="AA21" s="56"/>
    </row>
    <row r="22" spans="1:27" x14ac:dyDescent="0.25">
      <c r="A22" s="75"/>
      <c r="B22" s="67"/>
      <c r="C22" s="67"/>
      <c r="D22" s="67"/>
      <c r="E22" s="67"/>
      <c r="F22" s="67"/>
      <c r="G22" s="76" t="s">
        <v>459</v>
      </c>
      <c r="H22" s="120">
        <f>IF(H18="CCM",Lopt_2*10^6,L_DCM*10^6)</f>
        <v>4.9379</v>
      </c>
      <c r="I22" s="77" t="s">
        <v>542</v>
      </c>
      <c r="J22" s="67"/>
      <c r="K22" s="67"/>
      <c r="L22" s="67"/>
      <c r="M22" s="67"/>
      <c r="N22" s="67"/>
      <c r="O22" s="67"/>
      <c r="P22" s="67"/>
      <c r="Q22" s="67"/>
      <c r="R22" s="67"/>
      <c r="S22" s="67"/>
      <c r="T22" s="67"/>
      <c r="U22" s="67"/>
      <c r="V22" s="67"/>
      <c r="W22" s="67"/>
      <c r="X22" s="67"/>
      <c r="Y22" s="67"/>
      <c r="Z22" s="67"/>
      <c r="AA22" s="56"/>
    </row>
    <row r="23" spans="1:27" x14ac:dyDescent="0.25">
      <c r="A23" s="75"/>
      <c r="B23" s="67"/>
      <c r="C23" s="67"/>
      <c r="D23" s="67"/>
      <c r="E23" s="67"/>
      <c r="F23" s="67"/>
      <c r="G23" s="76" t="s">
        <v>460</v>
      </c>
      <c r="H23" s="117">
        <v>6.8</v>
      </c>
      <c r="I23" s="77" t="s">
        <v>542</v>
      </c>
      <c r="J23" s="67"/>
      <c r="K23" s="67"/>
      <c r="L23" s="67"/>
      <c r="M23" s="67"/>
      <c r="N23" s="67"/>
      <c r="O23" s="67"/>
      <c r="P23" s="67"/>
      <c r="Q23" s="67"/>
      <c r="R23" s="67"/>
      <c r="S23" s="67"/>
      <c r="T23" s="67"/>
      <c r="U23" s="67"/>
      <c r="V23" s="67"/>
      <c r="W23" s="67"/>
      <c r="X23" s="67"/>
      <c r="Y23" s="67"/>
      <c r="Z23" s="67"/>
      <c r="AA23" s="56"/>
    </row>
    <row r="24" spans="1:27" x14ac:dyDescent="0.25">
      <c r="A24" s="75"/>
      <c r="B24" s="67"/>
      <c r="C24" s="67"/>
      <c r="D24" s="67"/>
      <c r="E24" s="67"/>
      <c r="F24" s="67"/>
      <c r="G24" s="76" t="s">
        <v>81</v>
      </c>
      <c r="H24" s="117">
        <v>20</v>
      </c>
      <c r="I24" s="77" t="s">
        <v>105</v>
      </c>
      <c r="J24" s="67"/>
      <c r="K24" s="67"/>
      <c r="L24" s="67"/>
      <c r="M24" s="67"/>
      <c r="N24" s="67"/>
      <c r="O24" s="67"/>
      <c r="P24" s="67"/>
      <c r="Q24" s="67"/>
      <c r="R24" s="67"/>
      <c r="S24" s="67"/>
      <c r="T24" s="67"/>
      <c r="U24" s="67"/>
      <c r="V24" s="67"/>
      <c r="W24" s="67"/>
      <c r="X24" s="67"/>
      <c r="Y24" s="67"/>
      <c r="Z24" s="67"/>
      <c r="AA24" s="56"/>
    </row>
    <row r="25" spans="1:27" ht="15.75" thickBot="1" x14ac:dyDescent="0.3">
      <c r="A25" s="88"/>
      <c r="B25" s="83"/>
      <c r="C25" s="83"/>
      <c r="D25" s="83"/>
      <c r="E25" s="83"/>
      <c r="F25" s="83"/>
      <c r="G25" s="89" t="s">
        <v>106</v>
      </c>
      <c r="H25" s="121">
        <f>ILp_VINmin</f>
        <v>8.9084967320261441</v>
      </c>
      <c r="I25" s="85" t="s">
        <v>11</v>
      </c>
      <c r="J25" s="67"/>
      <c r="K25" s="67"/>
      <c r="L25" s="67"/>
      <c r="M25" s="67"/>
      <c r="N25" s="67"/>
      <c r="O25" s="67"/>
      <c r="P25" s="67"/>
      <c r="Q25" s="67"/>
      <c r="R25" s="67"/>
      <c r="S25" s="67"/>
      <c r="T25" s="67"/>
      <c r="U25" s="67"/>
      <c r="V25" s="67"/>
      <c r="W25" s="67"/>
      <c r="X25" s="67"/>
      <c r="Y25" s="67"/>
      <c r="Z25" s="67"/>
      <c r="AA25" s="56"/>
    </row>
    <row r="26" spans="1:27" x14ac:dyDescent="0.25">
      <c r="A26" s="67"/>
      <c r="B26" s="67"/>
      <c r="C26" s="67"/>
      <c r="D26" s="67"/>
      <c r="E26" s="67"/>
      <c r="F26" s="67"/>
      <c r="G26" s="68"/>
      <c r="H26" s="67"/>
      <c r="I26" s="67"/>
      <c r="J26" s="67"/>
      <c r="K26" s="67"/>
      <c r="L26" s="67"/>
      <c r="M26" s="67"/>
      <c r="N26" s="67"/>
      <c r="O26" s="67"/>
      <c r="P26" s="67"/>
      <c r="Q26" s="67"/>
      <c r="R26" s="67"/>
      <c r="S26" s="67"/>
      <c r="T26" s="67"/>
      <c r="U26" s="67"/>
      <c r="V26" s="67"/>
      <c r="W26" s="67"/>
      <c r="X26" s="67"/>
      <c r="Y26" s="67"/>
      <c r="Z26" s="67"/>
      <c r="AA26" s="56"/>
    </row>
    <row r="27" spans="1:27" ht="15.75" thickBot="1" x14ac:dyDescent="0.3">
      <c r="A27" s="70" t="s">
        <v>127</v>
      </c>
      <c r="B27" s="67"/>
      <c r="C27" s="67"/>
      <c r="D27" s="67"/>
      <c r="E27" s="67"/>
      <c r="F27" s="67"/>
      <c r="G27" s="68"/>
      <c r="H27" s="67"/>
      <c r="I27" s="67"/>
      <c r="J27" s="67"/>
      <c r="K27" s="67"/>
      <c r="L27" s="67"/>
      <c r="M27" s="67"/>
      <c r="N27" s="67"/>
      <c r="O27" s="67"/>
      <c r="P27" s="67"/>
      <c r="Q27" s="67"/>
      <c r="R27" s="67"/>
      <c r="S27" s="67"/>
      <c r="T27" s="67"/>
      <c r="U27" s="67"/>
      <c r="V27" s="67"/>
      <c r="W27" s="67"/>
      <c r="X27" s="67"/>
      <c r="Y27" s="67"/>
      <c r="Z27" s="67"/>
      <c r="AA27" s="56"/>
    </row>
    <row r="28" spans="1:27" x14ac:dyDescent="0.25">
      <c r="A28" s="71"/>
      <c r="B28" s="72"/>
      <c r="C28" s="72"/>
      <c r="D28" s="72"/>
      <c r="E28" s="72"/>
      <c r="F28" s="72"/>
      <c r="G28" s="73" t="s">
        <v>488</v>
      </c>
      <c r="H28" s="116">
        <v>20</v>
      </c>
      <c r="I28" s="74" t="s">
        <v>13</v>
      </c>
      <c r="J28" s="67"/>
      <c r="K28" s="67"/>
      <c r="L28" s="67"/>
      <c r="M28" s="67"/>
      <c r="N28" s="67"/>
      <c r="O28" s="67"/>
      <c r="P28" s="67"/>
      <c r="Q28" s="67"/>
      <c r="R28" s="67"/>
      <c r="S28" s="67"/>
      <c r="T28" s="67"/>
      <c r="U28" s="67"/>
      <c r="V28" s="67"/>
      <c r="W28" s="67"/>
      <c r="X28" s="67"/>
      <c r="Y28" s="67"/>
      <c r="Z28" s="67"/>
      <c r="AA28" s="56"/>
    </row>
    <row r="29" spans="1:27" ht="18" x14ac:dyDescent="0.35">
      <c r="A29" s="75"/>
      <c r="B29" s="67"/>
      <c r="C29" s="67"/>
      <c r="D29" s="67"/>
      <c r="E29" s="67"/>
      <c r="F29" s="67"/>
      <c r="G29" s="68" t="s">
        <v>203</v>
      </c>
      <c r="H29" s="118">
        <f>Ipk_selected</f>
        <v>10.690196078431372</v>
      </c>
      <c r="I29" s="77" t="s">
        <v>11</v>
      </c>
      <c r="J29" s="67"/>
      <c r="K29" s="67"/>
      <c r="L29" s="67"/>
      <c r="M29" s="67"/>
      <c r="N29" s="67"/>
      <c r="O29" s="67"/>
      <c r="P29" s="67"/>
      <c r="Q29" s="67"/>
      <c r="R29" s="67"/>
      <c r="S29" s="67"/>
      <c r="T29" s="67"/>
      <c r="U29" s="67"/>
      <c r="V29" s="67"/>
      <c r="W29" s="67"/>
      <c r="X29" s="67"/>
      <c r="Y29" s="67"/>
      <c r="Z29" s="67"/>
      <c r="AA29" s="56"/>
    </row>
    <row r="30" spans="1:27" ht="18" x14ac:dyDescent="0.35">
      <c r="A30" s="75"/>
      <c r="B30" s="67"/>
      <c r="C30" s="67"/>
      <c r="D30" s="67"/>
      <c r="E30" s="67"/>
      <c r="F30" s="67"/>
      <c r="G30" s="68" t="s">
        <v>493</v>
      </c>
      <c r="H30" s="118">
        <f>Variable_Management!B135*1000</f>
        <v>9.3543653705062368</v>
      </c>
      <c r="I30" s="77" t="s">
        <v>105</v>
      </c>
      <c r="J30" s="67"/>
      <c r="K30" s="67"/>
      <c r="L30" s="67"/>
      <c r="M30" s="67"/>
      <c r="N30" s="67"/>
      <c r="O30" s="67"/>
      <c r="P30" s="67"/>
      <c r="Q30" s="67"/>
      <c r="R30" s="67"/>
      <c r="S30" s="67"/>
      <c r="T30" s="67"/>
      <c r="U30" s="67"/>
      <c r="V30" s="67"/>
      <c r="W30" s="67"/>
      <c r="X30" s="67"/>
      <c r="Y30" s="67"/>
      <c r="Z30" s="67"/>
      <c r="AA30" s="56"/>
    </row>
    <row r="31" spans="1:27" ht="18" x14ac:dyDescent="0.35">
      <c r="A31" s="75"/>
      <c r="B31" s="67"/>
      <c r="C31" s="67"/>
      <c r="D31" s="67"/>
      <c r="E31" s="67"/>
      <c r="F31" s="67"/>
      <c r="G31" s="68" t="s">
        <v>166</v>
      </c>
      <c r="H31" s="122">
        <f>Variable_Management!B136</f>
        <v>0</v>
      </c>
      <c r="I31" s="90" t="s">
        <v>36</v>
      </c>
      <c r="J31" s="67"/>
      <c r="K31" s="67"/>
      <c r="L31" s="67"/>
      <c r="M31" s="67"/>
      <c r="N31" s="67"/>
      <c r="O31" s="67"/>
      <c r="P31" s="67"/>
      <c r="Q31" s="67"/>
      <c r="R31" s="67"/>
      <c r="S31" s="67"/>
      <c r="T31" s="67"/>
      <c r="U31" s="67"/>
      <c r="V31" s="67"/>
      <c r="W31" s="67"/>
      <c r="X31" s="67"/>
      <c r="Y31" s="67"/>
      <c r="Z31" s="67"/>
      <c r="AA31" s="56"/>
    </row>
    <row r="32" spans="1:27" ht="18" x14ac:dyDescent="0.35">
      <c r="A32" s="75"/>
      <c r="B32" s="67"/>
      <c r="C32" s="67"/>
      <c r="D32" s="67"/>
      <c r="E32" s="67"/>
      <c r="F32" s="67"/>
      <c r="G32" s="68" t="s">
        <v>494</v>
      </c>
      <c r="H32" s="117">
        <v>10</v>
      </c>
      <c r="I32" s="77" t="s">
        <v>105</v>
      </c>
      <c r="J32" s="67"/>
      <c r="K32" s="67"/>
      <c r="L32" s="67"/>
      <c r="M32" s="67"/>
      <c r="N32" s="67"/>
      <c r="O32" s="67"/>
      <c r="P32" s="67"/>
      <c r="Q32" s="67"/>
      <c r="R32" s="67"/>
      <c r="S32" s="67"/>
      <c r="T32" s="67"/>
      <c r="U32" s="67"/>
      <c r="V32" s="67"/>
      <c r="W32" s="67"/>
      <c r="X32" s="67"/>
      <c r="Y32" s="67"/>
      <c r="Z32" s="67"/>
      <c r="AA32" s="56"/>
    </row>
    <row r="33" spans="1:27" ht="18" x14ac:dyDescent="0.35">
      <c r="A33" s="75"/>
      <c r="B33" s="67"/>
      <c r="C33" s="67"/>
      <c r="D33" s="67"/>
      <c r="E33" s="67"/>
      <c r="F33" s="67"/>
      <c r="G33" s="68" t="s">
        <v>169</v>
      </c>
      <c r="H33" s="117">
        <v>267</v>
      </c>
      <c r="I33" s="90" t="s">
        <v>36</v>
      </c>
      <c r="J33" s="67"/>
      <c r="K33" s="67"/>
      <c r="L33" s="67"/>
      <c r="M33" s="67"/>
      <c r="N33" s="67"/>
      <c r="O33" s="67"/>
      <c r="P33" s="67"/>
      <c r="Q33" s="67"/>
      <c r="R33" s="67"/>
      <c r="S33" s="67"/>
      <c r="T33" s="67"/>
      <c r="U33" s="67"/>
      <c r="V33" s="67"/>
      <c r="W33" s="67"/>
      <c r="X33" s="67"/>
      <c r="Y33" s="67"/>
      <c r="Z33" s="67"/>
      <c r="AA33" s="56"/>
    </row>
    <row r="34" spans="1:27" x14ac:dyDescent="0.25">
      <c r="A34" s="75"/>
      <c r="B34" s="67"/>
      <c r="C34" s="67"/>
      <c r="D34" s="67"/>
      <c r="E34" s="67"/>
      <c r="F34" s="67"/>
      <c r="G34" s="68" t="s">
        <v>173</v>
      </c>
      <c r="H34" s="118">
        <f>IL_pk_max</f>
        <v>9.8398000000000003</v>
      </c>
      <c r="I34" s="90" t="s">
        <v>11</v>
      </c>
      <c r="J34" s="67"/>
      <c r="K34" s="67"/>
      <c r="L34" s="67"/>
      <c r="M34" s="67"/>
      <c r="N34" s="67"/>
      <c r="O34" s="67"/>
      <c r="P34" s="67"/>
      <c r="Q34" s="67"/>
      <c r="R34" s="67"/>
      <c r="S34" s="67"/>
      <c r="T34" s="67"/>
      <c r="U34" s="67"/>
      <c r="V34" s="67"/>
      <c r="W34" s="67"/>
      <c r="X34" s="67"/>
      <c r="Y34" s="67"/>
      <c r="Z34" s="67"/>
      <c r="AA34" s="56"/>
    </row>
    <row r="35" spans="1:27" ht="15.75" thickBot="1" x14ac:dyDescent="0.3">
      <c r="A35" s="88"/>
      <c r="B35" s="83"/>
      <c r="C35" s="83"/>
      <c r="D35" s="83"/>
      <c r="E35" s="83"/>
      <c r="F35" s="83"/>
      <c r="G35" s="91" t="s">
        <v>191</v>
      </c>
      <c r="H35" s="123">
        <f>Variable_Management!B145</f>
        <v>11.315769999999999</v>
      </c>
      <c r="I35" s="92" t="s">
        <v>11</v>
      </c>
      <c r="J35" s="67"/>
      <c r="K35" s="67"/>
      <c r="L35" s="67"/>
      <c r="M35" s="67"/>
      <c r="N35" s="67"/>
      <c r="O35" s="67"/>
      <c r="P35" s="67"/>
      <c r="Q35" s="67"/>
      <c r="R35" s="67"/>
      <c r="S35" s="67"/>
      <c r="T35" s="67"/>
      <c r="U35" s="67"/>
      <c r="V35" s="67"/>
      <c r="W35" s="67"/>
      <c r="X35" s="67"/>
      <c r="Y35" s="67"/>
      <c r="Z35" s="67"/>
      <c r="AA35" s="56"/>
    </row>
    <row r="36" spans="1:27" x14ac:dyDescent="0.25">
      <c r="A36" s="67"/>
      <c r="B36" s="67"/>
      <c r="C36" s="67"/>
      <c r="D36" s="67"/>
      <c r="E36" s="67"/>
      <c r="F36" s="67"/>
      <c r="G36" s="68"/>
      <c r="H36" s="67"/>
      <c r="I36" s="67"/>
      <c r="J36" s="67"/>
      <c r="K36" s="67"/>
      <c r="L36" s="67"/>
      <c r="M36" s="67"/>
      <c r="N36" s="67"/>
      <c r="O36" s="67"/>
      <c r="P36" s="67"/>
      <c r="Q36" s="67"/>
      <c r="R36" s="67"/>
      <c r="S36" s="67"/>
      <c r="T36" s="67"/>
      <c r="U36" s="67"/>
      <c r="V36" s="67"/>
      <c r="W36" s="67"/>
      <c r="X36" s="67"/>
      <c r="Y36" s="67"/>
      <c r="Z36" s="67"/>
      <c r="AA36" s="56"/>
    </row>
    <row r="37" spans="1:27" ht="15.75" thickBot="1" x14ac:dyDescent="0.3">
      <c r="A37" s="70" t="s">
        <v>185</v>
      </c>
      <c r="B37" s="67"/>
      <c r="C37" s="67"/>
      <c r="D37" s="67"/>
      <c r="E37" s="67"/>
      <c r="F37" s="67"/>
      <c r="G37" s="68"/>
      <c r="H37" s="67"/>
      <c r="I37" s="67"/>
      <c r="J37" s="67"/>
      <c r="K37" s="67"/>
      <c r="L37" s="67"/>
      <c r="M37" s="67"/>
      <c r="N37" s="67"/>
      <c r="O37" s="67"/>
      <c r="P37" s="67"/>
      <c r="Q37" s="67"/>
      <c r="R37" s="67"/>
      <c r="S37" s="67"/>
      <c r="T37" s="67"/>
      <c r="U37" s="67"/>
      <c r="V37" s="67"/>
      <c r="W37" s="67"/>
      <c r="X37" s="67"/>
      <c r="Y37" s="67"/>
      <c r="Z37" s="67"/>
      <c r="AA37" s="56"/>
    </row>
    <row r="38" spans="1:27" ht="18" x14ac:dyDescent="0.35">
      <c r="A38" s="71"/>
      <c r="B38" s="72"/>
      <c r="C38" s="72"/>
      <c r="D38" s="72"/>
      <c r="E38" s="72"/>
      <c r="F38" s="72"/>
      <c r="G38" s="93" t="s">
        <v>541</v>
      </c>
      <c r="H38" s="116">
        <v>10</v>
      </c>
      <c r="I38" s="74" t="s">
        <v>186</v>
      </c>
      <c r="J38" s="67"/>
      <c r="K38" s="67"/>
      <c r="L38" s="67"/>
      <c r="M38" s="67"/>
      <c r="N38" s="67"/>
      <c r="O38" s="67"/>
      <c r="P38" s="67"/>
      <c r="Q38" s="67"/>
      <c r="R38" s="67"/>
      <c r="S38" s="67"/>
      <c r="T38" s="67"/>
      <c r="U38" s="67"/>
      <c r="V38" s="67"/>
      <c r="W38" s="67"/>
      <c r="X38" s="67"/>
      <c r="Y38" s="67"/>
      <c r="Z38" s="67"/>
      <c r="AA38" s="56"/>
    </row>
    <row r="39" spans="1:27" x14ac:dyDescent="0.25">
      <c r="A39" s="75"/>
      <c r="B39" s="67"/>
      <c r="C39" s="67"/>
      <c r="D39" s="67"/>
      <c r="E39" s="67"/>
      <c r="F39" s="67"/>
      <c r="G39" s="68" t="s">
        <v>187</v>
      </c>
      <c r="H39" s="143">
        <f>Cout_min*10^6</f>
        <v>195.55555555555557</v>
      </c>
      <c r="I39" s="77" t="s">
        <v>543</v>
      </c>
      <c r="J39" s="67"/>
      <c r="K39" s="67"/>
      <c r="L39" s="67"/>
      <c r="M39" s="67"/>
      <c r="N39" s="67"/>
      <c r="O39" s="67"/>
      <c r="P39" s="67"/>
      <c r="Q39" s="67"/>
      <c r="R39" s="67"/>
      <c r="S39" s="67"/>
      <c r="T39" s="67"/>
      <c r="U39" s="67"/>
      <c r="V39" s="67"/>
      <c r="W39" s="67"/>
      <c r="X39" s="67"/>
      <c r="Y39" s="67"/>
      <c r="Z39" s="67"/>
      <c r="AA39" s="56"/>
    </row>
    <row r="40" spans="1:27" ht="18" x14ac:dyDescent="0.35">
      <c r="A40" s="75"/>
      <c r="B40" s="67"/>
      <c r="C40" s="67"/>
      <c r="D40" s="67"/>
      <c r="E40" s="67"/>
      <c r="F40" s="67"/>
      <c r="G40" s="68" t="s">
        <v>195</v>
      </c>
      <c r="H40" s="118">
        <f>IRMS_COUT</f>
        <v>3.33430988016389</v>
      </c>
      <c r="I40" s="77" t="s">
        <v>11</v>
      </c>
      <c r="J40" s="67"/>
      <c r="K40" s="67"/>
      <c r="L40" s="67"/>
      <c r="M40" s="67"/>
      <c r="N40" s="67"/>
      <c r="O40" s="67"/>
      <c r="P40" s="67"/>
      <c r="Q40" s="67"/>
      <c r="R40" s="67"/>
      <c r="S40" s="67"/>
      <c r="T40" s="67"/>
      <c r="U40" s="67"/>
      <c r="V40" s="67"/>
      <c r="W40" s="67"/>
      <c r="X40" s="67"/>
      <c r="Y40" s="67"/>
      <c r="Z40" s="67"/>
      <c r="AA40" s="56"/>
    </row>
    <row r="41" spans="1:27" ht="18" x14ac:dyDescent="0.35">
      <c r="A41" s="75"/>
      <c r="B41" s="67"/>
      <c r="C41" s="67"/>
      <c r="D41" s="67"/>
      <c r="E41" s="67"/>
      <c r="F41" s="67"/>
      <c r="G41" s="68" t="s">
        <v>188</v>
      </c>
      <c r="H41" s="117">
        <v>1000</v>
      </c>
      <c r="I41" s="77" t="s">
        <v>543</v>
      </c>
      <c r="J41" s="67"/>
      <c r="K41" s="67"/>
      <c r="L41" s="67"/>
      <c r="M41" s="67"/>
      <c r="N41" s="67"/>
      <c r="O41" s="67"/>
      <c r="P41" s="67"/>
      <c r="Q41" s="67"/>
      <c r="R41" s="67"/>
      <c r="S41" s="67"/>
      <c r="T41" s="67"/>
      <c r="U41" s="67"/>
      <c r="V41" s="67"/>
      <c r="W41" s="67"/>
      <c r="X41" s="67"/>
      <c r="Y41" s="67"/>
      <c r="Z41" s="67"/>
      <c r="AA41" s="56"/>
    </row>
    <row r="42" spans="1:27" ht="18.75" thickBot="1" x14ac:dyDescent="0.4">
      <c r="A42" s="88"/>
      <c r="B42" s="83"/>
      <c r="C42" s="83"/>
      <c r="D42" s="83"/>
      <c r="E42" s="83"/>
      <c r="F42" s="83"/>
      <c r="G42" s="91" t="s">
        <v>198</v>
      </c>
      <c r="H42" s="124">
        <v>5</v>
      </c>
      <c r="I42" s="85" t="s">
        <v>105</v>
      </c>
      <c r="J42" s="67"/>
      <c r="K42" s="67"/>
      <c r="L42" s="67"/>
      <c r="M42" s="67"/>
      <c r="N42" s="67"/>
      <c r="O42" s="67"/>
      <c r="P42" s="67"/>
      <c r="Q42" s="67"/>
      <c r="R42" s="67"/>
      <c r="S42" s="67"/>
      <c r="T42" s="67"/>
      <c r="U42" s="67"/>
      <c r="V42" s="67"/>
      <c r="W42" s="67"/>
      <c r="X42" s="67"/>
      <c r="Y42" s="67"/>
      <c r="Z42" s="67"/>
      <c r="AA42" s="56"/>
    </row>
    <row r="43" spans="1:27" x14ac:dyDescent="0.25">
      <c r="A43" s="67"/>
      <c r="B43" s="67"/>
      <c r="C43" s="67"/>
      <c r="D43" s="67"/>
      <c r="E43" s="67"/>
      <c r="F43" s="67"/>
      <c r="G43" s="68"/>
      <c r="H43" s="67"/>
      <c r="I43" s="67"/>
      <c r="J43" s="67"/>
      <c r="K43" s="67"/>
      <c r="L43" s="67"/>
      <c r="M43" s="67"/>
      <c r="N43" s="67"/>
      <c r="O43" s="67"/>
      <c r="P43" s="67"/>
      <c r="Q43" s="67"/>
      <c r="R43" s="67"/>
      <c r="S43" s="67"/>
      <c r="T43" s="67"/>
      <c r="U43" s="67"/>
      <c r="V43" s="67"/>
      <c r="W43" s="67"/>
      <c r="X43" s="67"/>
      <c r="Y43" s="67"/>
      <c r="Z43" s="67"/>
      <c r="AA43" s="56"/>
    </row>
    <row r="44" spans="1:27" ht="15.75" thickBot="1" x14ac:dyDescent="0.3">
      <c r="A44" s="70" t="s">
        <v>319</v>
      </c>
      <c r="B44" s="67"/>
      <c r="C44" s="67"/>
      <c r="D44" s="67"/>
      <c r="E44" s="67"/>
      <c r="F44" s="67"/>
      <c r="G44" s="68"/>
      <c r="H44" s="67"/>
      <c r="I44" s="67"/>
      <c r="J44" s="67"/>
      <c r="K44" s="67"/>
      <c r="L44" s="67"/>
      <c r="M44" s="67"/>
      <c r="N44" s="67"/>
      <c r="O44" s="67"/>
      <c r="P44" s="67"/>
      <c r="Q44" s="67"/>
      <c r="R44" s="67"/>
      <c r="S44" s="67"/>
      <c r="T44" s="67"/>
      <c r="U44" s="67"/>
      <c r="V44" s="67"/>
      <c r="W44" s="67"/>
      <c r="X44" s="67"/>
      <c r="Y44" s="67"/>
      <c r="Z44" s="67"/>
      <c r="AA44" s="56"/>
    </row>
    <row r="45" spans="1:27" ht="18" x14ac:dyDescent="0.35">
      <c r="A45" s="71"/>
      <c r="B45" s="72"/>
      <c r="C45" s="72"/>
      <c r="D45" s="72"/>
      <c r="E45" s="72"/>
      <c r="F45" s="72"/>
      <c r="G45" s="93" t="s">
        <v>342</v>
      </c>
      <c r="H45" s="126">
        <f>Variable_Management!B161*(10^9)</f>
        <v>150</v>
      </c>
      <c r="I45" s="74" t="s">
        <v>218</v>
      </c>
      <c r="J45" s="67"/>
      <c r="K45" s="67"/>
      <c r="L45" s="67"/>
      <c r="M45" s="67"/>
      <c r="N45" s="67"/>
      <c r="O45" s="67"/>
      <c r="P45" s="67"/>
      <c r="Q45" s="67"/>
      <c r="R45" s="67"/>
      <c r="S45" s="67"/>
      <c r="T45" s="67"/>
      <c r="U45" s="67"/>
      <c r="V45" s="67"/>
      <c r="W45" s="67"/>
      <c r="X45" s="67"/>
      <c r="Y45" s="67"/>
      <c r="Z45" s="67"/>
      <c r="AA45" s="56"/>
    </row>
    <row r="46" spans="1:27" ht="18" x14ac:dyDescent="0.35">
      <c r="A46" s="75"/>
      <c r="B46" s="67"/>
      <c r="C46" s="67"/>
      <c r="D46" s="67"/>
      <c r="E46" s="67"/>
      <c r="F46" s="67"/>
      <c r="G46" s="68" t="s">
        <v>529</v>
      </c>
      <c r="H46" s="117">
        <v>20</v>
      </c>
      <c r="I46" s="77" t="s">
        <v>343</v>
      </c>
      <c r="J46" s="67"/>
      <c r="K46" s="67"/>
      <c r="L46" s="67"/>
      <c r="M46" s="67"/>
      <c r="N46" s="67"/>
      <c r="O46" s="67"/>
      <c r="P46" s="67"/>
      <c r="Q46" s="67"/>
      <c r="R46" s="67"/>
      <c r="S46" s="67"/>
      <c r="T46" s="67"/>
      <c r="U46" s="67"/>
      <c r="V46" s="67"/>
      <c r="W46" s="67"/>
      <c r="X46" s="67"/>
      <c r="Y46" s="67"/>
      <c r="Z46" s="67"/>
      <c r="AA46" s="56"/>
    </row>
    <row r="47" spans="1:27" ht="18.75" thickBot="1" x14ac:dyDescent="0.4">
      <c r="A47" s="88"/>
      <c r="B47" s="83"/>
      <c r="C47" s="83"/>
      <c r="D47" s="83"/>
      <c r="E47" s="83"/>
      <c r="F47" s="83"/>
      <c r="G47" s="91" t="s">
        <v>346</v>
      </c>
      <c r="H47" s="127">
        <f>Variable_Management!B163*(10^9)</f>
        <v>272.72727272727269</v>
      </c>
      <c r="I47" s="85" t="s">
        <v>218</v>
      </c>
      <c r="J47" s="67"/>
      <c r="K47" s="67"/>
      <c r="L47" s="67"/>
      <c r="M47" s="67"/>
      <c r="N47" s="67"/>
      <c r="O47" s="67"/>
      <c r="P47" s="67"/>
      <c r="Q47" s="67"/>
      <c r="R47" s="67"/>
      <c r="S47" s="67"/>
      <c r="T47" s="67"/>
      <c r="U47" s="67"/>
      <c r="V47" s="67"/>
      <c r="W47" s="67"/>
      <c r="X47" s="67"/>
      <c r="Y47" s="67"/>
      <c r="Z47" s="67"/>
      <c r="AA47" s="56"/>
    </row>
    <row r="48" spans="1:27" x14ac:dyDescent="0.25">
      <c r="A48" s="67"/>
      <c r="B48" s="67"/>
      <c r="C48" s="67"/>
      <c r="D48" s="67"/>
      <c r="E48" s="67"/>
      <c r="F48" s="67"/>
      <c r="G48" s="68"/>
      <c r="H48" s="67"/>
      <c r="I48" s="67"/>
      <c r="J48" s="67"/>
      <c r="K48" s="67"/>
      <c r="L48" s="67"/>
      <c r="M48" s="67"/>
      <c r="N48" s="67"/>
      <c r="O48" s="67"/>
      <c r="P48" s="67"/>
      <c r="Q48" s="67"/>
      <c r="R48" s="67"/>
      <c r="S48" s="67"/>
      <c r="T48" s="67"/>
      <c r="U48" s="67"/>
      <c r="V48" s="67"/>
      <c r="W48" s="67"/>
      <c r="X48" s="67"/>
      <c r="Y48" s="67"/>
      <c r="Z48" s="67"/>
      <c r="AA48" s="56"/>
    </row>
    <row r="49" spans="1:27" ht="15.75" thickBot="1" x14ac:dyDescent="0.3">
      <c r="A49" s="70" t="s">
        <v>320</v>
      </c>
      <c r="B49" s="67"/>
      <c r="C49" s="67"/>
      <c r="D49" s="67"/>
      <c r="E49" s="67"/>
      <c r="F49" s="67"/>
      <c r="G49" s="68"/>
      <c r="H49" s="67"/>
      <c r="I49" s="67"/>
      <c r="J49" s="67"/>
      <c r="K49" s="67"/>
      <c r="L49" s="67"/>
      <c r="M49" s="67"/>
      <c r="N49" s="67"/>
      <c r="O49" s="67"/>
      <c r="P49" s="67"/>
      <c r="Q49" s="67"/>
      <c r="R49" s="67"/>
      <c r="S49" s="67"/>
      <c r="T49" s="67"/>
      <c r="U49" s="67"/>
      <c r="V49" s="67"/>
      <c r="W49" s="67"/>
      <c r="X49" s="67"/>
      <c r="Y49" s="67"/>
      <c r="Z49" s="67"/>
      <c r="AA49" s="56"/>
    </row>
    <row r="50" spans="1:27" ht="18" x14ac:dyDescent="0.35">
      <c r="A50" s="71"/>
      <c r="B50" s="72"/>
      <c r="C50" s="72"/>
      <c r="D50" s="72"/>
      <c r="E50" s="72"/>
      <c r="F50" s="72"/>
      <c r="G50" s="93" t="s">
        <v>348</v>
      </c>
      <c r="H50" s="116">
        <v>5.8</v>
      </c>
      <c r="I50" s="74" t="s">
        <v>10</v>
      </c>
      <c r="J50" s="67"/>
      <c r="K50" s="67"/>
      <c r="L50" s="67"/>
      <c r="M50" s="67"/>
      <c r="N50" s="67"/>
      <c r="O50" s="67"/>
      <c r="P50" s="67"/>
      <c r="Q50" s="67"/>
      <c r="R50" s="67"/>
      <c r="S50" s="67"/>
      <c r="T50" s="67"/>
      <c r="U50" s="67"/>
      <c r="V50" s="67"/>
      <c r="W50" s="67"/>
      <c r="X50" s="67"/>
      <c r="Y50" s="67"/>
      <c r="Z50" s="67"/>
      <c r="AA50" s="56"/>
    </row>
    <row r="51" spans="1:27" ht="18" x14ac:dyDescent="0.35">
      <c r="A51" s="75"/>
      <c r="B51" s="67"/>
      <c r="C51" s="67"/>
      <c r="D51" s="67"/>
      <c r="E51" s="67"/>
      <c r="F51" s="67"/>
      <c r="G51" s="68" t="s">
        <v>347</v>
      </c>
      <c r="H51" s="117">
        <v>5.4</v>
      </c>
      <c r="I51" s="77" t="s">
        <v>10</v>
      </c>
      <c r="J51" s="67"/>
      <c r="K51" s="67"/>
      <c r="L51" s="67"/>
      <c r="M51" s="67"/>
      <c r="N51" s="67"/>
      <c r="O51" s="67"/>
      <c r="P51" s="67"/>
      <c r="Q51" s="115">
        <f>VIN_min</f>
        <v>8</v>
      </c>
      <c r="R51" s="67"/>
      <c r="S51" s="67"/>
      <c r="T51" s="67"/>
      <c r="U51" s="67"/>
      <c r="V51" s="67"/>
      <c r="W51" s="67"/>
      <c r="X51" s="67"/>
      <c r="Y51" s="67"/>
      <c r="Z51" s="67"/>
      <c r="AA51" s="56"/>
    </row>
    <row r="52" spans="1:27" ht="18" x14ac:dyDescent="0.35">
      <c r="A52" s="75"/>
      <c r="B52" s="67"/>
      <c r="C52" s="67"/>
      <c r="D52" s="67"/>
      <c r="E52" s="67"/>
      <c r="F52" s="67"/>
      <c r="G52" s="68" t="s">
        <v>463</v>
      </c>
      <c r="H52" s="125">
        <f>Ruvlo_top_calc/1000</f>
        <v>41.719999999999942</v>
      </c>
      <c r="I52" s="90" t="s">
        <v>215</v>
      </c>
      <c r="J52" s="67"/>
      <c r="K52" s="67"/>
      <c r="L52" s="67"/>
      <c r="M52" s="67"/>
      <c r="N52" s="67"/>
      <c r="O52" s="67"/>
      <c r="P52" s="67"/>
      <c r="Q52" s="67"/>
      <c r="R52" s="67"/>
      <c r="S52" s="67"/>
      <c r="T52" s="67"/>
      <c r="U52" s="67"/>
      <c r="V52" s="67"/>
      <c r="W52" s="67"/>
      <c r="X52" s="67"/>
      <c r="Y52" s="67"/>
      <c r="Z52" s="67"/>
      <c r="AA52" s="56"/>
    </row>
    <row r="53" spans="1:27" ht="18" x14ac:dyDescent="0.35">
      <c r="A53" s="75"/>
      <c r="B53" s="67"/>
      <c r="C53" s="67"/>
      <c r="D53" s="67"/>
      <c r="E53" s="67"/>
      <c r="F53" s="67"/>
      <c r="G53" s="68" t="s">
        <v>464</v>
      </c>
      <c r="H53" s="117">
        <v>21</v>
      </c>
      <c r="I53" s="90" t="s">
        <v>215</v>
      </c>
      <c r="J53" s="67"/>
      <c r="K53" s="67"/>
      <c r="L53" s="67"/>
      <c r="M53" s="67"/>
      <c r="N53" s="67"/>
      <c r="O53" s="67"/>
      <c r="P53" s="67"/>
      <c r="Q53" s="67"/>
      <c r="R53" s="67"/>
      <c r="S53" s="67"/>
      <c r="T53" s="67"/>
      <c r="U53" s="67"/>
      <c r="V53" s="67"/>
      <c r="W53" s="67"/>
      <c r="X53" s="67"/>
      <c r="Y53" s="67"/>
      <c r="Z53" s="67"/>
      <c r="AA53" s="56"/>
    </row>
    <row r="54" spans="1:27" ht="18.75" thickBot="1" x14ac:dyDescent="0.4">
      <c r="A54" s="88"/>
      <c r="B54" s="83"/>
      <c r="C54" s="83"/>
      <c r="D54" s="83"/>
      <c r="E54" s="83"/>
      <c r="F54" s="83"/>
      <c r="G54" s="91" t="s">
        <v>465</v>
      </c>
      <c r="H54" s="219">
        <f>IF(Ruvlo_bottom_calc/1000=0,"NA",Ruvlo_bottom_calc/1000)</f>
        <v>7.3255813953488378</v>
      </c>
      <c r="I54" s="92" t="s">
        <v>215</v>
      </c>
      <c r="J54" s="67"/>
      <c r="K54" s="67"/>
      <c r="L54" s="67"/>
      <c r="M54" s="67"/>
      <c r="N54" s="67"/>
      <c r="O54" s="67"/>
      <c r="P54" s="67"/>
      <c r="Q54" s="67"/>
      <c r="R54" s="67"/>
      <c r="S54" s="67"/>
      <c r="T54" s="67"/>
      <c r="U54" s="67"/>
      <c r="V54" s="67"/>
      <c r="W54" s="67"/>
      <c r="X54" s="67"/>
      <c r="Y54" s="67"/>
      <c r="Z54" s="67"/>
      <c r="AA54" s="56"/>
    </row>
    <row r="55" spans="1:27" x14ac:dyDescent="0.25">
      <c r="A55" s="67"/>
      <c r="B55" s="67"/>
      <c r="C55" s="67"/>
      <c r="D55" s="67"/>
      <c r="E55" s="67"/>
      <c r="F55" s="67"/>
      <c r="G55" s="68"/>
      <c r="H55" s="67"/>
      <c r="I55" s="67"/>
      <c r="J55" s="67"/>
      <c r="K55" s="67"/>
      <c r="L55" s="67"/>
      <c r="M55" s="67"/>
      <c r="N55" s="67"/>
      <c r="O55" s="67"/>
      <c r="P55" s="67"/>
      <c r="Q55" s="67"/>
      <c r="R55" s="67"/>
      <c r="S55" s="67"/>
      <c r="T55" s="67"/>
      <c r="U55" s="67"/>
      <c r="V55" s="67"/>
      <c r="W55" s="67"/>
      <c r="X55" s="67"/>
      <c r="Y55" s="67"/>
      <c r="Z55" s="67"/>
      <c r="AA55" s="56"/>
    </row>
    <row r="56" spans="1:27" ht="15.75" thickBot="1" x14ac:dyDescent="0.3">
      <c r="A56" s="70" t="s">
        <v>371</v>
      </c>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56"/>
    </row>
    <row r="57" spans="1:27" ht="18" x14ac:dyDescent="0.35">
      <c r="A57" s="94"/>
      <c r="B57" s="72"/>
      <c r="C57" s="72"/>
      <c r="D57" s="72"/>
      <c r="E57" s="72"/>
      <c r="F57" s="72"/>
      <c r="G57" s="95" t="s">
        <v>489</v>
      </c>
      <c r="H57" s="128" t="str">
        <f>VIN_nom&amp;"V"</f>
        <v>24V</v>
      </c>
      <c r="I57" s="74"/>
      <c r="J57" s="67"/>
      <c r="K57" s="67"/>
      <c r="L57" s="67"/>
      <c r="M57" s="67"/>
      <c r="N57" s="67"/>
      <c r="O57" s="67"/>
      <c r="P57" s="67"/>
      <c r="Q57" s="67"/>
      <c r="R57" s="67"/>
      <c r="S57" s="67"/>
      <c r="T57" s="67"/>
      <c r="U57" s="67"/>
      <c r="V57" s="67"/>
      <c r="W57" s="67"/>
      <c r="X57" s="67"/>
      <c r="Y57" s="67"/>
      <c r="Z57" s="67"/>
      <c r="AA57" s="56"/>
    </row>
    <row r="58" spans="1:27" x14ac:dyDescent="0.25">
      <c r="A58" s="75"/>
      <c r="B58" s="67"/>
      <c r="C58" s="67"/>
      <c r="D58" s="67"/>
      <c r="E58" s="67"/>
      <c r="F58" s="67"/>
      <c r="G58" s="67"/>
      <c r="H58" s="129"/>
      <c r="I58" s="77"/>
      <c r="J58" s="67"/>
      <c r="K58" s="67"/>
      <c r="L58" s="67"/>
      <c r="M58" s="67"/>
      <c r="N58" s="67"/>
      <c r="O58" s="67"/>
      <c r="P58" s="67"/>
      <c r="Q58" s="67"/>
      <c r="R58" s="67"/>
      <c r="S58" s="67"/>
      <c r="T58" s="67"/>
      <c r="U58" s="67"/>
      <c r="V58" s="67"/>
      <c r="W58" s="67"/>
      <c r="X58" s="67"/>
      <c r="Y58" s="67"/>
      <c r="Z58" s="67"/>
      <c r="AA58" s="56"/>
    </row>
    <row r="59" spans="1:27" x14ac:dyDescent="0.25">
      <c r="A59" s="96"/>
      <c r="B59" s="67"/>
      <c r="C59" s="67"/>
      <c r="D59" s="67"/>
      <c r="E59" s="67"/>
      <c r="F59" s="67"/>
      <c r="G59" s="97" t="s">
        <v>216</v>
      </c>
      <c r="H59" s="119"/>
      <c r="I59" s="77"/>
      <c r="J59" s="67"/>
      <c r="K59" s="67"/>
      <c r="L59" s="67"/>
      <c r="M59" s="67"/>
      <c r="N59" s="67"/>
      <c r="O59" s="67"/>
      <c r="P59" s="67"/>
      <c r="Q59" s="67"/>
      <c r="R59" s="67"/>
      <c r="S59" s="67"/>
      <c r="T59" s="67"/>
      <c r="U59" s="67"/>
      <c r="V59" s="67"/>
      <c r="W59" s="67"/>
      <c r="X59" s="67"/>
      <c r="Y59" s="67"/>
      <c r="Z59" s="67"/>
      <c r="AA59" s="56"/>
    </row>
    <row r="60" spans="1:27" ht="18" x14ac:dyDescent="0.35">
      <c r="A60" s="96"/>
      <c r="B60" s="67"/>
      <c r="C60" s="67"/>
      <c r="D60" s="67"/>
      <c r="E60" s="67"/>
      <c r="F60" s="67"/>
      <c r="G60" s="68" t="s">
        <v>318</v>
      </c>
      <c r="H60" s="117">
        <v>71.5</v>
      </c>
      <c r="I60" s="90" t="s">
        <v>215</v>
      </c>
      <c r="J60" s="67"/>
      <c r="K60" s="67"/>
      <c r="L60" s="67"/>
      <c r="M60" s="67"/>
      <c r="N60" s="67"/>
      <c r="O60" s="67"/>
      <c r="P60" s="67"/>
      <c r="Q60" s="67"/>
      <c r="R60" s="67"/>
      <c r="S60" s="67"/>
      <c r="T60" s="67"/>
      <c r="U60" s="67"/>
      <c r="V60" s="67"/>
      <c r="W60" s="67"/>
      <c r="X60" s="67"/>
      <c r="Y60" s="67"/>
      <c r="Z60" s="67"/>
      <c r="AA60" s="56"/>
    </row>
    <row r="61" spans="1:27" ht="18" x14ac:dyDescent="0.35">
      <c r="A61" s="96"/>
      <c r="B61" s="67"/>
      <c r="C61" s="67"/>
      <c r="D61" s="67"/>
      <c r="E61" s="67"/>
      <c r="F61" s="67"/>
      <c r="G61" s="68" t="s">
        <v>294</v>
      </c>
      <c r="H61" s="125">
        <f>RFBB_calc/1000</f>
        <v>2.4655172413793101</v>
      </c>
      <c r="I61" s="90" t="s">
        <v>215</v>
      </c>
      <c r="J61" s="67"/>
      <c r="K61" s="67"/>
      <c r="L61" s="67"/>
      <c r="M61" s="67"/>
      <c r="N61" s="67"/>
      <c r="O61" s="67"/>
      <c r="P61" s="67"/>
      <c r="Q61" s="67"/>
      <c r="R61" s="67"/>
      <c r="S61" s="67"/>
      <c r="T61" s="67"/>
      <c r="U61" s="67"/>
      <c r="V61" s="67"/>
      <c r="W61" s="67"/>
      <c r="X61" s="67"/>
      <c r="Y61" s="67"/>
      <c r="Z61" s="67"/>
      <c r="AA61" s="56"/>
    </row>
    <row r="62" spans="1:27" ht="18" x14ac:dyDescent="0.35">
      <c r="A62" s="96"/>
      <c r="B62" s="67"/>
      <c r="C62" s="67"/>
      <c r="D62" s="67"/>
      <c r="E62" s="67"/>
      <c r="F62" s="67"/>
      <c r="G62" s="68" t="s">
        <v>530</v>
      </c>
      <c r="H62" s="117">
        <v>2.4900000000000002</v>
      </c>
      <c r="I62" s="90" t="s">
        <v>215</v>
      </c>
      <c r="J62" s="67"/>
      <c r="K62" s="67"/>
      <c r="L62" s="67"/>
      <c r="M62" s="67"/>
      <c r="N62" s="67"/>
      <c r="O62" s="67"/>
      <c r="P62" s="67"/>
      <c r="Q62" s="67"/>
      <c r="R62" s="67"/>
      <c r="S62" s="67"/>
      <c r="T62" s="67"/>
      <c r="U62" s="67"/>
      <c r="V62" s="67"/>
      <c r="W62" s="67"/>
      <c r="X62" s="67"/>
      <c r="Y62" s="67"/>
      <c r="Z62" s="67"/>
      <c r="AA62" s="56"/>
    </row>
    <row r="63" spans="1:27" x14ac:dyDescent="0.25">
      <c r="A63" s="75"/>
      <c r="B63" s="67"/>
      <c r="C63" s="67"/>
      <c r="D63" s="67"/>
      <c r="E63" s="67"/>
      <c r="F63" s="67"/>
      <c r="G63" s="68"/>
      <c r="H63" s="119"/>
      <c r="I63" s="77"/>
      <c r="J63" s="67"/>
      <c r="K63" s="67"/>
      <c r="L63" s="67"/>
      <c r="M63" s="67"/>
      <c r="N63" s="67"/>
      <c r="O63" s="67"/>
      <c r="P63" s="67"/>
      <c r="Q63" s="67"/>
      <c r="R63" s="67"/>
      <c r="S63" s="67"/>
      <c r="T63" s="67"/>
      <c r="U63" s="67"/>
      <c r="V63" s="67"/>
      <c r="W63" s="67"/>
      <c r="X63" s="67"/>
      <c r="Y63" s="67"/>
      <c r="Z63" s="67"/>
      <c r="AA63" s="56"/>
    </row>
    <row r="64" spans="1:27" x14ac:dyDescent="0.25">
      <c r="A64" s="75"/>
      <c r="B64" s="67"/>
      <c r="C64" s="67"/>
      <c r="D64" s="67"/>
      <c r="E64" s="67"/>
      <c r="F64" s="67"/>
      <c r="G64" s="68"/>
      <c r="H64" s="119"/>
      <c r="I64" s="77"/>
      <c r="J64" s="67"/>
      <c r="K64" s="67"/>
      <c r="L64" s="67"/>
      <c r="M64" s="67"/>
      <c r="N64" s="67"/>
      <c r="O64" s="67"/>
      <c r="P64" s="67"/>
      <c r="Q64" s="67"/>
      <c r="R64" s="67"/>
      <c r="S64" s="67"/>
      <c r="T64" s="67"/>
      <c r="U64" s="67"/>
      <c r="V64" s="67"/>
      <c r="W64" s="67"/>
      <c r="X64" s="67"/>
      <c r="Y64" s="67"/>
      <c r="Z64" s="67"/>
      <c r="AA64" s="56"/>
    </row>
    <row r="65" spans="1:27" x14ac:dyDescent="0.25">
      <c r="A65" s="75"/>
      <c r="B65" s="67"/>
      <c r="C65" s="67"/>
      <c r="D65" s="67"/>
      <c r="E65" s="67"/>
      <c r="F65" s="67"/>
      <c r="G65" s="68" t="s">
        <v>550</v>
      </c>
      <c r="H65" s="220">
        <f>fcross_est/1000</f>
        <v>4.9930962538633832</v>
      </c>
      <c r="I65" s="77" t="s">
        <v>12</v>
      </c>
      <c r="J65" s="67"/>
      <c r="K65" s="67"/>
      <c r="L65" s="67"/>
      <c r="M65" s="67"/>
      <c r="N65" s="67"/>
      <c r="O65" s="67"/>
      <c r="P65" s="67"/>
      <c r="Q65" s="67"/>
      <c r="R65" s="67"/>
      <c r="S65" s="67"/>
      <c r="T65" s="67"/>
      <c r="U65" s="67"/>
      <c r="V65" s="67"/>
      <c r="W65" s="67"/>
      <c r="X65" s="67"/>
      <c r="Y65" s="67"/>
      <c r="Z65" s="67"/>
      <c r="AA65" s="56"/>
    </row>
    <row r="66" spans="1:27" ht="18" x14ac:dyDescent="0.35">
      <c r="A66" s="75"/>
      <c r="B66" s="67"/>
      <c r="C66" s="67"/>
      <c r="D66" s="67"/>
      <c r="E66" s="67"/>
      <c r="F66" s="67"/>
      <c r="G66" s="68" t="s">
        <v>551</v>
      </c>
      <c r="H66" s="117">
        <v>100</v>
      </c>
      <c r="I66" s="77" t="s">
        <v>12</v>
      </c>
      <c r="J66" s="67"/>
      <c r="K66" s="67"/>
      <c r="L66" s="67"/>
      <c r="M66" s="67"/>
      <c r="N66" s="67"/>
      <c r="O66" s="67"/>
      <c r="P66" s="67"/>
      <c r="Q66" s="67"/>
      <c r="R66" s="67"/>
      <c r="S66" s="67"/>
      <c r="T66" s="67"/>
      <c r="U66" s="67"/>
      <c r="V66" s="67"/>
      <c r="W66" s="67"/>
      <c r="X66" s="67"/>
      <c r="Y66" s="67"/>
      <c r="Z66" s="67"/>
      <c r="AA66" s="56"/>
    </row>
    <row r="67" spans="1:27" x14ac:dyDescent="0.25">
      <c r="A67" s="75"/>
      <c r="B67" s="67"/>
      <c r="C67" s="67"/>
      <c r="D67" s="67"/>
      <c r="E67" s="67"/>
      <c r="F67" s="67"/>
      <c r="G67" s="68"/>
      <c r="H67" s="119"/>
      <c r="I67" s="77"/>
      <c r="J67" s="67"/>
      <c r="K67" s="67"/>
      <c r="L67" s="67" t="str">
        <f>Loop_Modeling!A68</f>
        <v>Crossover Frequency = 14.5 kHz</v>
      </c>
      <c r="M67" s="67"/>
      <c r="N67" s="67"/>
      <c r="O67" s="67"/>
      <c r="P67" s="67"/>
      <c r="Q67" s="67"/>
      <c r="R67" s="67"/>
      <c r="S67" s="67"/>
      <c r="T67" s="67"/>
      <c r="U67" s="67"/>
      <c r="V67" s="67"/>
      <c r="W67" s="67"/>
      <c r="X67" s="67"/>
      <c r="Y67" s="67"/>
      <c r="Z67" s="67"/>
      <c r="AA67" s="56"/>
    </row>
    <row r="68" spans="1:27" ht="15.75" thickBot="1" x14ac:dyDescent="0.3">
      <c r="A68" s="75"/>
      <c r="B68" s="67"/>
      <c r="C68" s="67"/>
      <c r="D68" s="67"/>
      <c r="E68" s="67"/>
      <c r="F68" s="99" t="s">
        <v>323</v>
      </c>
      <c r="G68" s="99"/>
      <c r="H68" s="130" t="s">
        <v>324</v>
      </c>
      <c r="I68" s="100"/>
      <c r="J68" s="67"/>
      <c r="K68" s="67"/>
      <c r="L68" s="67" t="str">
        <f>Loop_Modeling!A69</f>
        <v>Phase Margin = 60°</v>
      </c>
      <c r="M68" s="67"/>
      <c r="N68" s="67"/>
      <c r="O68" s="67"/>
      <c r="P68" s="67"/>
      <c r="Q68" s="67"/>
      <c r="R68" s="67"/>
      <c r="S68" s="67"/>
      <c r="T68" s="67"/>
      <c r="U68" s="67"/>
      <c r="V68" s="67"/>
      <c r="W68" s="67"/>
      <c r="X68" s="67"/>
      <c r="Y68" s="67"/>
      <c r="Z68" s="67"/>
      <c r="AA68" s="56"/>
    </row>
    <row r="69" spans="1:27" ht="18.75" thickBot="1" x14ac:dyDescent="0.4">
      <c r="A69" s="75"/>
      <c r="B69" s="67"/>
      <c r="C69" s="67"/>
      <c r="D69" s="67"/>
      <c r="E69" s="68" t="s">
        <v>322</v>
      </c>
      <c r="F69" s="141">
        <f>Rcomp_calc/1000</f>
        <v>233.76718147679748</v>
      </c>
      <c r="G69" s="135" t="s">
        <v>215</v>
      </c>
      <c r="H69" s="132">
        <v>150</v>
      </c>
      <c r="I69" s="90" t="s">
        <v>215</v>
      </c>
      <c r="J69" s="67"/>
      <c r="K69" s="67"/>
      <c r="L69" s="67"/>
      <c r="M69" s="67"/>
      <c r="N69" s="67"/>
      <c r="O69" s="67"/>
      <c r="P69" s="67"/>
      <c r="Q69" s="67"/>
      <c r="R69" s="67"/>
      <c r="S69" s="67"/>
      <c r="T69" s="67"/>
      <c r="U69" s="67"/>
      <c r="V69" s="67"/>
      <c r="W69" s="67"/>
      <c r="X69" s="67"/>
      <c r="Y69" s="67"/>
      <c r="Z69" s="67"/>
      <c r="AA69" s="56"/>
    </row>
    <row r="70" spans="1:27" ht="18.75" thickBot="1" x14ac:dyDescent="0.4">
      <c r="A70" s="75"/>
      <c r="B70" s="67"/>
      <c r="C70" s="67"/>
      <c r="D70" s="67"/>
      <c r="E70" s="68" t="s">
        <v>448</v>
      </c>
      <c r="F70" s="133">
        <f>CComp_calc*(10^9)</f>
        <v>0.46736604500684364</v>
      </c>
      <c r="G70" s="135" t="s">
        <v>218</v>
      </c>
      <c r="H70" s="132">
        <v>10</v>
      </c>
      <c r="I70" s="77" t="s">
        <v>218</v>
      </c>
      <c r="J70" s="67"/>
      <c r="K70" s="67"/>
      <c r="L70" s="67"/>
      <c r="M70" s="67"/>
      <c r="N70" s="67"/>
      <c r="O70" s="67"/>
      <c r="P70" s="67"/>
      <c r="Q70" s="67"/>
      <c r="R70" s="67"/>
      <c r="S70" s="67"/>
      <c r="T70" s="67"/>
      <c r="U70" s="67"/>
      <c r="V70" s="67"/>
      <c r="W70" s="67"/>
      <c r="X70" s="67"/>
      <c r="Y70" s="67"/>
      <c r="Z70" s="67"/>
      <c r="AA70" s="56"/>
    </row>
    <row r="71" spans="1:27" ht="18.75" thickBot="1" x14ac:dyDescent="0.4">
      <c r="A71" s="88"/>
      <c r="B71" s="83"/>
      <c r="C71" s="83"/>
      <c r="D71" s="83"/>
      <c r="E71" s="91" t="s">
        <v>449</v>
      </c>
      <c r="F71" s="131">
        <f>Variable_Management!B231*(10^12)</f>
        <v>28.96056650479078</v>
      </c>
      <c r="G71" s="136" t="s">
        <v>217</v>
      </c>
      <c r="H71" s="124">
        <v>68</v>
      </c>
      <c r="I71" s="85" t="s">
        <v>217</v>
      </c>
      <c r="J71" s="67"/>
      <c r="K71" s="67"/>
      <c r="L71" s="67"/>
      <c r="M71" s="67"/>
      <c r="N71" s="67"/>
      <c r="O71" s="67"/>
      <c r="P71" s="67"/>
      <c r="Q71" s="67"/>
      <c r="R71" s="67"/>
      <c r="S71" s="67"/>
      <c r="T71" s="67"/>
      <c r="U71" s="67"/>
      <c r="V71" s="67"/>
      <c r="W71" s="67"/>
      <c r="X71" s="67"/>
      <c r="Y71" s="67"/>
      <c r="Z71" s="67"/>
      <c r="AA71" s="56"/>
    </row>
    <row r="72" spans="1:27" x14ac:dyDescent="0.25">
      <c r="A72" s="67"/>
      <c r="B72" s="67"/>
      <c r="C72" s="67"/>
      <c r="D72" s="67"/>
      <c r="E72" s="68"/>
      <c r="F72" s="101"/>
      <c r="G72" s="68"/>
      <c r="H72" s="98"/>
      <c r="I72" s="67"/>
      <c r="J72" s="67"/>
      <c r="K72" s="67"/>
      <c r="L72" s="67"/>
      <c r="M72" s="67"/>
      <c r="N72" s="67"/>
      <c r="O72" s="67"/>
      <c r="P72" s="67"/>
      <c r="Q72" s="67"/>
      <c r="R72" s="67"/>
      <c r="S72" s="67"/>
      <c r="T72" s="67"/>
      <c r="U72" s="67"/>
      <c r="V72" s="67"/>
      <c r="W72" s="67"/>
      <c r="X72" s="67"/>
      <c r="Y72" s="67"/>
      <c r="Z72" s="67"/>
      <c r="AA72" s="56"/>
    </row>
    <row r="73" spans="1:27" ht="23.25" x14ac:dyDescent="0.35">
      <c r="A73" s="102" t="s">
        <v>321</v>
      </c>
      <c r="B73" s="103"/>
      <c r="C73" s="103"/>
      <c r="D73" s="103"/>
      <c r="E73" s="103"/>
      <c r="F73" s="103"/>
      <c r="G73" s="104"/>
      <c r="H73" s="103"/>
      <c r="I73" s="103"/>
      <c r="J73" s="103"/>
      <c r="K73" s="103"/>
      <c r="L73" s="103"/>
      <c r="M73" s="103"/>
      <c r="N73" s="103"/>
      <c r="O73" s="103"/>
      <c r="P73" s="103"/>
      <c r="Q73" s="103"/>
      <c r="R73" s="103"/>
      <c r="S73" s="103"/>
      <c r="T73" s="105"/>
      <c r="U73" s="105"/>
      <c r="V73" s="105"/>
      <c r="W73" s="105"/>
      <c r="X73" s="105"/>
      <c r="Y73" s="105"/>
      <c r="Z73" s="105"/>
    </row>
    <row r="74" spans="1:27" x14ac:dyDescent="0.25">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56"/>
    </row>
    <row r="75" spans="1:27" ht="15.75" thickBot="1" x14ac:dyDescent="0.3">
      <c r="A75" s="106" t="s">
        <v>399</v>
      </c>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56"/>
    </row>
    <row r="76" spans="1:27" ht="15.75" x14ac:dyDescent="0.3">
      <c r="A76" s="71"/>
      <c r="B76" s="72"/>
      <c r="C76" s="72"/>
      <c r="D76" s="72"/>
      <c r="E76" s="72"/>
      <c r="F76" s="72"/>
      <c r="G76" s="107" t="s">
        <v>387</v>
      </c>
      <c r="H76" s="116">
        <v>4.5999999999999996</v>
      </c>
      <c r="I76" s="108" t="s">
        <v>394</v>
      </c>
      <c r="J76" s="98"/>
      <c r="K76" s="98"/>
      <c r="L76" s="98"/>
      <c r="M76" s="98"/>
      <c r="N76" s="98"/>
      <c r="O76" s="98"/>
      <c r="P76" s="98"/>
      <c r="Q76" s="98"/>
      <c r="R76" s="98"/>
      <c r="S76" s="98"/>
      <c r="T76" s="98"/>
      <c r="U76" s="98"/>
      <c r="V76" s="98"/>
      <c r="W76" s="98"/>
      <c r="X76" s="98"/>
      <c r="Y76" s="98"/>
      <c r="Z76" s="98"/>
      <c r="AA76" s="56"/>
    </row>
    <row r="77" spans="1:27" ht="15.75" x14ac:dyDescent="0.3">
      <c r="A77" s="96"/>
      <c r="B77" s="67"/>
      <c r="C77" s="67"/>
      <c r="D77" s="67"/>
      <c r="E77" s="67"/>
      <c r="F77" s="67"/>
      <c r="G77" s="109" t="s">
        <v>388</v>
      </c>
      <c r="H77" s="117">
        <v>39.4</v>
      </c>
      <c r="I77" s="110" t="s">
        <v>395</v>
      </c>
      <c r="J77" s="98"/>
      <c r="K77" s="98"/>
      <c r="L77" s="98"/>
      <c r="M77" s="98"/>
      <c r="N77" s="98"/>
      <c r="O77" s="98"/>
      <c r="P77" s="98"/>
      <c r="Q77" s="98"/>
      <c r="R77" s="98"/>
      <c r="S77" s="98"/>
      <c r="T77" s="98"/>
      <c r="U77" s="98"/>
      <c r="V77" s="98"/>
      <c r="W77" s="98"/>
      <c r="X77" s="98"/>
      <c r="Y77" s="98"/>
      <c r="Z77" s="98"/>
      <c r="AA77" s="56"/>
    </row>
    <row r="78" spans="1:27" ht="15.75" x14ac:dyDescent="0.3">
      <c r="A78" s="96"/>
      <c r="B78" s="67"/>
      <c r="C78" s="67"/>
      <c r="D78" s="67"/>
      <c r="E78" s="67"/>
      <c r="F78" s="67"/>
      <c r="G78" s="109" t="s">
        <v>389</v>
      </c>
      <c r="H78" s="117">
        <v>11.1</v>
      </c>
      <c r="I78" s="110" t="s">
        <v>395</v>
      </c>
      <c r="J78" s="98"/>
      <c r="K78" s="98"/>
      <c r="L78" s="98"/>
      <c r="M78" s="98"/>
      <c r="N78" s="98"/>
      <c r="O78" s="98"/>
      <c r="P78" s="98"/>
      <c r="Q78" s="98"/>
      <c r="R78" s="98"/>
      <c r="S78" s="98"/>
      <c r="T78" s="98"/>
      <c r="U78" s="98"/>
      <c r="V78" s="98"/>
      <c r="W78" s="98"/>
      <c r="X78" s="98"/>
      <c r="Y78" s="98"/>
      <c r="Z78" s="98"/>
      <c r="AA78" s="56"/>
    </row>
    <row r="79" spans="1:27" ht="15.75" x14ac:dyDescent="0.3">
      <c r="A79" s="75"/>
      <c r="B79" s="67"/>
      <c r="C79" s="67"/>
      <c r="D79" s="67"/>
      <c r="E79" s="67"/>
      <c r="F79" s="67"/>
      <c r="G79" s="109" t="s">
        <v>390</v>
      </c>
      <c r="H79" s="117">
        <v>12.3</v>
      </c>
      <c r="I79" s="110" t="s">
        <v>395</v>
      </c>
      <c r="J79" s="98"/>
      <c r="K79" s="98"/>
      <c r="L79" s="98"/>
      <c r="M79" s="98"/>
      <c r="N79" s="98"/>
      <c r="O79" s="98"/>
      <c r="P79" s="98"/>
      <c r="Q79" s="98"/>
      <c r="R79" s="98"/>
      <c r="S79" s="98"/>
      <c r="T79" s="98"/>
      <c r="U79" s="98"/>
      <c r="V79" s="98"/>
      <c r="W79" s="98"/>
      <c r="X79" s="98"/>
      <c r="Y79" s="98"/>
      <c r="Z79" s="98"/>
      <c r="AA79" s="56"/>
    </row>
    <row r="80" spans="1:27" ht="15.75" x14ac:dyDescent="0.3">
      <c r="A80" s="75"/>
      <c r="B80" s="67"/>
      <c r="C80" s="67"/>
      <c r="D80" s="67"/>
      <c r="E80" s="67"/>
      <c r="F80" s="67"/>
      <c r="G80" s="109" t="s">
        <v>391</v>
      </c>
      <c r="H80" s="117">
        <v>1.5</v>
      </c>
      <c r="I80" s="110" t="s">
        <v>396</v>
      </c>
      <c r="J80" s="98"/>
      <c r="K80" s="98"/>
      <c r="L80" s="98"/>
      <c r="M80" s="98"/>
      <c r="N80" s="98"/>
      <c r="O80" s="98"/>
      <c r="P80" s="98"/>
      <c r="Q80" s="98"/>
      <c r="R80" s="98"/>
      <c r="S80" s="98"/>
      <c r="T80" s="98"/>
      <c r="U80" s="98"/>
      <c r="V80" s="98"/>
      <c r="W80" s="98"/>
      <c r="X80" s="98"/>
      <c r="Y80" s="98"/>
      <c r="Z80" s="98"/>
      <c r="AA80" s="56"/>
    </row>
    <row r="81" spans="1:27" ht="15.75" x14ac:dyDescent="0.3">
      <c r="A81" s="75"/>
      <c r="B81" s="67"/>
      <c r="C81" s="67"/>
      <c r="D81" s="67"/>
      <c r="E81" s="67"/>
      <c r="F81" s="67"/>
      <c r="G81" s="109" t="s">
        <v>392</v>
      </c>
      <c r="H81" s="117">
        <v>60</v>
      </c>
      <c r="I81" s="110" t="s">
        <v>397</v>
      </c>
      <c r="J81" s="98"/>
      <c r="K81" s="98"/>
      <c r="L81" s="98"/>
      <c r="M81" s="98"/>
      <c r="N81" s="98"/>
      <c r="O81" s="98"/>
      <c r="P81" s="98"/>
      <c r="Q81" s="98"/>
      <c r="R81" s="98"/>
      <c r="S81" s="98"/>
      <c r="T81" s="98"/>
      <c r="U81" s="98"/>
      <c r="V81" s="98"/>
      <c r="W81" s="98"/>
      <c r="X81" s="98"/>
      <c r="Y81" s="98"/>
      <c r="Z81" s="98"/>
      <c r="AA81" s="56"/>
    </row>
    <row r="82" spans="1:27" ht="16.5" thickBot="1" x14ac:dyDescent="0.35">
      <c r="A82" s="88"/>
      <c r="B82" s="83"/>
      <c r="C82" s="83"/>
      <c r="D82" s="83"/>
      <c r="E82" s="83"/>
      <c r="F82" s="83"/>
      <c r="G82" s="111" t="s">
        <v>393</v>
      </c>
      <c r="H82" s="124">
        <v>1.7</v>
      </c>
      <c r="I82" s="112" t="s">
        <v>10</v>
      </c>
      <c r="J82" s="98"/>
      <c r="K82" s="98"/>
      <c r="L82" s="98"/>
      <c r="M82" s="98"/>
      <c r="N82" s="98"/>
      <c r="O82" s="98"/>
      <c r="P82" s="98"/>
      <c r="Q82" s="98"/>
      <c r="R82" s="98"/>
      <c r="S82" s="98"/>
      <c r="T82" s="98"/>
      <c r="U82" s="98"/>
      <c r="V82" s="98"/>
      <c r="W82" s="98"/>
      <c r="X82" s="98"/>
      <c r="Y82" s="98"/>
      <c r="Z82" s="98"/>
      <c r="AA82" s="56"/>
    </row>
    <row r="83" spans="1:27" x14ac:dyDescent="0.25">
      <c r="A83" s="67"/>
      <c r="B83" s="67"/>
      <c r="C83" s="67"/>
      <c r="D83" s="67"/>
      <c r="E83" s="67"/>
      <c r="F83" s="67"/>
      <c r="G83" s="68"/>
      <c r="H83" s="67"/>
      <c r="I83" s="67"/>
      <c r="J83" s="67"/>
      <c r="K83" s="67"/>
      <c r="L83" s="67"/>
      <c r="M83" s="67"/>
      <c r="N83" s="67"/>
      <c r="O83" s="67"/>
      <c r="P83" s="67"/>
      <c r="Q83" s="67"/>
      <c r="R83" s="67"/>
      <c r="S83" s="67"/>
      <c r="T83" s="67"/>
      <c r="U83" s="67"/>
      <c r="V83" s="67"/>
      <c r="W83" s="67"/>
      <c r="X83" s="67"/>
      <c r="Y83" s="67"/>
      <c r="Z83" s="67"/>
      <c r="AA83" s="56"/>
    </row>
    <row r="84" spans="1:27" ht="15.75" thickBot="1" x14ac:dyDescent="0.3">
      <c r="A84" s="106" t="s">
        <v>398</v>
      </c>
      <c r="B84" s="67"/>
      <c r="C84" s="67"/>
      <c r="D84" s="67"/>
      <c r="E84" s="67"/>
      <c r="F84" s="67"/>
      <c r="G84" s="68"/>
      <c r="H84" s="67"/>
      <c r="I84" s="67"/>
      <c r="J84" s="67"/>
      <c r="K84" s="67"/>
      <c r="L84" s="67"/>
      <c r="M84" s="67"/>
      <c r="N84" s="67"/>
      <c r="O84" s="67"/>
      <c r="P84" s="67"/>
      <c r="Q84" s="67"/>
      <c r="R84" s="67"/>
      <c r="S84" s="67"/>
      <c r="T84" s="67"/>
      <c r="U84" s="67"/>
      <c r="V84" s="67"/>
      <c r="W84" s="67"/>
      <c r="X84" s="67"/>
      <c r="Y84" s="67"/>
      <c r="Z84" s="67"/>
      <c r="AA84" s="56"/>
    </row>
    <row r="85" spans="1:27" ht="18" x14ac:dyDescent="0.35">
      <c r="A85" s="71"/>
      <c r="B85" s="72"/>
      <c r="C85" s="72"/>
      <c r="D85" s="72"/>
      <c r="E85" s="72"/>
      <c r="F85" s="72"/>
      <c r="G85" s="93" t="s">
        <v>492</v>
      </c>
      <c r="H85" s="134">
        <f>IOUT</f>
        <v>2</v>
      </c>
      <c r="I85" s="74" t="s">
        <v>11</v>
      </c>
      <c r="J85" s="98"/>
      <c r="K85" s="98"/>
      <c r="L85" s="98"/>
      <c r="M85" s="98"/>
      <c r="N85" s="98"/>
      <c r="O85" s="98"/>
      <c r="P85" s="98"/>
      <c r="Q85" s="98"/>
      <c r="R85" s="98"/>
      <c r="S85" s="98"/>
      <c r="T85" s="98"/>
      <c r="U85" s="98"/>
      <c r="V85" s="98"/>
      <c r="W85" s="98"/>
      <c r="X85" s="98"/>
      <c r="Y85" s="98"/>
      <c r="Z85" s="98"/>
      <c r="AA85" s="56"/>
    </row>
    <row r="86" spans="1:27" ht="18" x14ac:dyDescent="0.35">
      <c r="A86" s="75"/>
      <c r="B86" s="67"/>
      <c r="C86" s="67"/>
      <c r="D86" s="67"/>
      <c r="E86" s="67"/>
      <c r="F86" s="67"/>
      <c r="G86" s="68" t="s">
        <v>400</v>
      </c>
      <c r="H86" s="117">
        <v>580</v>
      </c>
      <c r="I86" s="77" t="s">
        <v>186</v>
      </c>
      <c r="J86" s="98"/>
      <c r="K86" s="98"/>
      <c r="L86" s="98"/>
      <c r="M86" s="98"/>
      <c r="N86" s="98"/>
      <c r="O86" s="98"/>
      <c r="P86" s="98"/>
      <c r="Q86" s="98"/>
      <c r="R86" s="98"/>
      <c r="S86" s="98"/>
      <c r="T86" s="98"/>
      <c r="U86" s="98"/>
      <c r="V86" s="98"/>
      <c r="W86" s="98"/>
      <c r="X86" s="98"/>
      <c r="Y86" s="98"/>
      <c r="Z86" s="98"/>
      <c r="AA86" s="56"/>
    </row>
    <row r="87" spans="1:27" ht="15.75" thickBot="1" x14ac:dyDescent="0.3">
      <c r="A87" s="88"/>
      <c r="B87" s="83"/>
      <c r="C87" s="83"/>
      <c r="D87" s="83"/>
      <c r="E87" s="83"/>
      <c r="F87" s="83"/>
      <c r="G87" s="91" t="s">
        <v>408</v>
      </c>
      <c r="H87" s="124">
        <v>10</v>
      </c>
      <c r="I87" s="85" t="s">
        <v>395</v>
      </c>
      <c r="J87" s="98"/>
      <c r="K87" s="98"/>
      <c r="L87" s="98"/>
      <c r="M87" s="98"/>
      <c r="N87" s="98"/>
      <c r="O87" s="98"/>
      <c r="P87" s="98"/>
      <c r="Q87" s="98"/>
      <c r="R87" s="98"/>
      <c r="S87" s="98"/>
      <c r="T87" s="98"/>
      <c r="U87" s="98"/>
      <c r="V87" s="98"/>
      <c r="W87" s="98"/>
      <c r="X87" s="98"/>
      <c r="Y87" s="98"/>
      <c r="Z87" s="98"/>
      <c r="AA87" s="56"/>
    </row>
    <row r="88" spans="1:27" x14ac:dyDescent="0.25">
      <c r="A88" s="67"/>
      <c r="B88" s="67"/>
      <c r="C88" s="67"/>
      <c r="D88" s="67"/>
      <c r="E88" s="67"/>
      <c r="F88" s="67"/>
      <c r="G88" s="68"/>
      <c r="H88" s="67"/>
      <c r="I88" s="67"/>
      <c r="J88" s="67"/>
      <c r="K88" s="67"/>
      <c r="L88" s="67"/>
      <c r="M88" s="67"/>
      <c r="N88" s="67"/>
      <c r="O88" s="67"/>
      <c r="P88" s="67"/>
      <c r="Q88" s="67"/>
      <c r="R88" s="67"/>
      <c r="S88" s="67"/>
      <c r="T88" s="67"/>
      <c r="U88" s="67"/>
      <c r="V88" s="67"/>
      <c r="W88" s="67"/>
      <c r="X88" s="67"/>
      <c r="Y88" s="67"/>
      <c r="Z88" s="67"/>
      <c r="AA88" s="56"/>
    </row>
    <row r="89" spans="1:27" x14ac:dyDescent="0.25">
      <c r="A89" s="67"/>
      <c r="B89" s="67"/>
      <c r="C89" s="67"/>
      <c r="D89" s="67"/>
      <c r="E89" s="67"/>
      <c r="F89" s="67"/>
      <c r="G89" s="68"/>
      <c r="H89" s="67"/>
      <c r="I89" s="67"/>
      <c r="J89" s="67"/>
      <c r="K89" s="67"/>
      <c r="L89" s="67"/>
      <c r="M89" s="67"/>
      <c r="N89" s="67"/>
      <c r="O89" s="67"/>
      <c r="P89" s="67"/>
      <c r="Q89" s="67"/>
      <c r="R89" s="67"/>
      <c r="S89" s="67"/>
      <c r="T89" s="67"/>
      <c r="U89" s="67"/>
      <c r="V89" s="67"/>
      <c r="W89" s="67"/>
      <c r="X89" s="67"/>
      <c r="Y89" s="67"/>
      <c r="Z89" s="67"/>
      <c r="AA89" s="56"/>
    </row>
    <row r="90" spans="1:27" x14ac:dyDescent="0.25">
      <c r="A90" s="67"/>
      <c r="B90" s="67"/>
      <c r="C90" s="67"/>
      <c r="D90" s="67"/>
      <c r="E90" s="67"/>
      <c r="F90" s="67"/>
      <c r="G90" s="68"/>
      <c r="H90" s="67"/>
      <c r="I90" s="67"/>
      <c r="J90" s="67"/>
      <c r="K90" s="67"/>
      <c r="L90" s="67"/>
      <c r="M90" s="67"/>
      <c r="N90" s="67"/>
      <c r="O90" s="67"/>
      <c r="P90" s="67"/>
      <c r="Q90" s="67"/>
      <c r="R90" s="67"/>
      <c r="S90" s="67"/>
      <c r="T90" s="67"/>
      <c r="U90" s="67"/>
      <c r="V90" s="67"/>
      <c r="W90" s="67"/>
      <c r="X90" s="67"/>
      <c r="Y90" s="67"/>
      <c r="Z90" s="67"/>
      <c r="AA90" s="56"/>
    </row>
    <row r="91" spans="1:27" x14ac:dyDescent="0.25">
      <c r="A91" s="67"/>
      <c r="B91" s="67"/>
      <c r="C91" s="67"/>
      <c r="D91" s="67"/>
      <c r="E91" s="67"/>
      <c r="F91" s="67"/>
      <c r="G91" s="68"/>
      <c r="H91" s="67"/>
      <c r="I91" s="67"/>
      <c r="J91" s="67"/>
      <c r="K91" s="67"/>
      <c r="L91" s="67"/>
      <c r="M91" s="67"/>
      <c r="N91" s="67"/>
      <c r="O91" s="67"/>
      <c r="P91" s="67"/>
      <c r="Q91" s="67"/>
      <c r="R91" s="67"/>
      <c r="S91" s="67"/>
      <c r="T91" s="67"/>
      <c r="U91" s="67"/>
      <c r="V91" s="67"/>
      <c r="W91" s="67"/>
      <c r="X91" s="67"/>
      <c r="Y91" s="67"/>
      <c r="Z91" s="67"/>
      <c r="AA91" s="56"/>
    </row>
    <row r="92" spans="1:27" x14ac:dyDescent="0.25">
      <c r="A92" s="67"/>
      <c r="B92" s="67"/>
      <c r="C92" s="67"/>
      <c r="D92" s="67"/>
      <c r="E92" s="67"/>
      <c r="F92" s="67"/>
      <c r="G92" s="68"/>
      <c r="H92" s="67"/>
      <c r="I92" s="67"/>
      <c r="J92" s="67"/>
      <c r="K92" s="67"/>
      <c r="L92" s="67"/>
      <c r="M92" s="67"/>
      <c r="N92" s="67"/>
      <c r="O92" s="67"/>
      <c r="P92" s="67"/>
      <c r="Q92" s="67"/>
      <c r="R92" s="67"/>
      <c r="S92" s="67"/>
      <c r="T92" s="67"/>
      <c r="U92" s="67"/>
      <c r="V92" s="67"/>
      <c r="W92" s="67"/>
      <c r="X92" s="67"/>
      <c r="Y92" s="67"/>
      <c r="Z92" s="67"/>
      <c r="AA92" s="56"/>
    </row>
    <row r="93" spans="1:27" x14ac:dyDescent="0.25">
      <c r="A93" s="67"/>
      <c r="B93" s="67"/>
      <c r="C93" s="67"/>
      <c r="D93" s="67"/>
      <c r="E93" s="67"/>
      <c r="F93" s="67"/>
      <c r="G93" s="68"/>
      <c r="H93" s="67"/>
      <c r="I93" s="67"/>
      <c r="J93" s="67"/>
      <c r="K93" s="67"/>
      <c r="L93" s="67"/>
      <c r="M93" s="67"/>
      <c r="N93" s="67"/>
      <c r="O93" s="67"/>
      <c r="P93" s="67"/>
      <c r="Q93" s="67"/>
      <c r="R93" s="67"/>
      <c r="S93" s="67"/>
      <c r="T93" s="67"/>
      <c r="U93" s="67"/>
      <c r="V93" s="67"/>
      <c r="W93" s="67"/>
      <c r="X93" s="67"/>
      <c r="Y93" s="67"/>
      <c r="Z93" s="67"/>
      <c r="AA93" s="56"/>
    </row>
    <row r="94" spans="1:27" x14ac:dyDescent="0.25">
      <c r="A94" s="67"/>
      <c r="B94" s="67"/>
      <c r="C94" s="67"/>
      <c r="D94" s="67"/>
      <c r="E94" s="67"/>
      <c r="F94" s="67"/>
      <c r="G94" s="68"/>
      <c r="H94" s="67"/>
      <c r="I94" s="67"/>
      <c r="J94" s="67"/>
      <c r="K94" s="67"/>
      <c r="L94" s="67"/>
      <c r="M94" s="67"/>
      <c r="N94" s="67"/>
      <c r="O94" s="67"/>
      <c r="P94" s="67"/>
      <c r="Q94" s="67"/>
      <c r="R94" s="67"/>
      <c r="S94" s="67"/>
      <c r="T94" s="67"/>
      <c r="U94" s="67"/>
      <c r="V94" s="67"/>
      <c r="W94" s="67"/>
      <c r="X94" s="67"/>
      <c r="Y94" s="67"/>
      <c r="Z94" s="67"/>
      <c r="AA94" s="56"/>
    </row>
    <row r="95" spans="1:27" x14ac:dyDescent="0.25">
      <c r="A95" s="67"/>
      <c r="B95" s="67"/>
      <c r="C95" s="67"/>
      <c r="D95" s="67"/>
      <c r="E95" s="67"/>
      <c r="F95" s="67"/>
      <c r="G95" s="68"/>
      <c r="H95" s="67"/>
      <c r="I95" s="67"/>
      <c r="J95" s="67"/>
      <c r="K95" s="67"/>
      <c r="L95" s="67"/>
      <c r="M95" s="67"/>
      <c r="N95" s="67"/>
      <c r="O95" s="67"/>
      <c r="P95" s="67"/>
      <c r="Q95" s="67"/>
      <c r="R95" s="67"/>
      <c r="S95" s="67"/>
      <c r="T95" s="67"/>
      <c r="U95" s="67"/>
      <c r="V95" s="67"/>
      <c r="W95" s="67"/>
      <c r="X95" s="67"/>
      <c r="Y95" s="67"/>
      <c r="Z95" s="67"/>
      <c r="AA95" s="56"/>
    </row>
    <row r="96" spans="1:27" x14ac:dyDescent="0.25">
      <c r="A96" s="67"/>
      <c r="B96" s="67"/>
      <c r="C96" s="67"/>
      <c r="D96" s="67"/>
      <c r="E96" s="67"/>
      <c r="F96" s="67"/>
      <c r="G96" s="68"/>
      <c r="H96" s="67"/>
      <c r="I96" s="67"/>
      <c r="J96" s="67"/>
      <c r="K96" s="67"/>
      <c r="L96" s="67"/>
      <c r="M96" s="67"/>
      <c r="N96" s="67"/>
      <c r="O96" s="67"/>
      <c r="P96" s="67"/>
      <c r="Q96" s="67"/>
      <c r="R96" s="67"/>
      <c r="S96" s="67"/>
      <c r="T96" s="67"/>
      <c r="U96" s="67"/>
      <c r="V96" s="67"/>
      <c r="W96" s="67"/>
      <c r="X96" s="67"/>
      <c r="Y96" s="67"/>
      <c r="Z96" s="67"/>
      <c r="AA96" s="56"/>
    </row>
    <row r="97" spans="1:27" x14ac:dyDescent="0.25">
      <c r="A97" s="67"/>
      <c r="B97" s="67"/>
      <c r="C97" s="67"/>
      <c r="D97" s="67"/>
      <c r="E97" s="67"/>
      <c r="F97" s="67"/>
      <c r="G97" s="68"/>
      <c r="H97" s="67"/>
      <c r="I97" s="67"/>
      <c r="J97" s="67"/>
      <c r="K97" s="67"/>
      <c r="L97" s="67"/>
      <c r="M97" s="67"/>
      <c r="N97" s="67"/>
      <c r="O97" s="67"/>
      <c r="P97" s="67"/>
      <c r="Q97" s="67"/>
      <c r="R97" s="67"/>
      <c r="S97" s="67"/>
      <c r="T97" s="67"/>
      <c r="U97" s="67"/>
      <c r="V97" s="67"/>
      <c r="W97" s="67"/>
      <c r="X97" s="67"/>
      <c r="Y97" s="67"/>
      <c r="Z97" s="67"/>
      <c r="AA97" s="56"/>
    </row>
    <row r="98" spans="1:27" x14ac:dyDescent="0.25">
      <c r="A98" s="67"/>
      <c r="B98" s="67"/>
      <c r="C98" s="67"/>
      <c r="D98" s="67"/>
      <c r="E98" s="67"/>
      <c r="F98" s="67"/>
      <c r="G98" s="68"/>
      <c r="H98" s="67"/>
      <c r="I98" s="67"/>
      <c r="J98" s="67"/>
      <c r="K98" s="67"/>
      <c r="L98" s="67"/>
      <c r="M98" s="67"/>
      <c r="N98" s="67"/>
      <c r="O98" s="67"/>
      <c r="P98" s="67"/>
      <c r="Q98" s="67"/>
      <c r="R98" s="67"/>
      <c r="S98" s="67"/>
      <c r="T98" s="67"/>
      <c r="U98" s="67"/>
      <c r="V98" s="67"/>
      <c r="W98" s="67"/>
      <c r="X98" s="67"/>
      <c r="Y98" s="67"/>
      <c r="Z98" s="67"/>
      <c r="AA98" s="56"/>
    </row>
    <row r="99" spans="1:27" x14ac:dyDescent="0.25">
      <c r="A99" s="67"/>
      <c r="B99" s="67"/>
      <c r="C99" s="67"/>
      <c r="D99" s="67"/>
      <c r="E99" s="67"/>
      <c r="F99" s="67"/>
      <c r="G99" s="68"/>
      <c r="H99" s="67"/>
      <c r="I99" s="67"/>
      <c r="J99" s="67"/>
      <c r="K99" s="67"/>
      <c r="L99" s="67"/>
      <c r="M99" s="67"/>
      <c r="N99" s="67"/>
      <c r="O99" s="67"/>
      <c r="P99" s="67"/>
      <c r="Q99" s="67"/>
      <c r="R99" s="67"/>
      <c r="S99" s="67"/>
      <c r="T99" s="67"/>
      <c r="U99" s="67"/>
      <c r="V99" s="67"/>
      <c r="W99" s="67"/>
      <c r="X99" s="67"/>
      <c r="Y99" s="67"/>
      <c r="Z99" s="67"/>
      <c r="AA99" s="56"/>
    </row>
    <row r="100" spans="1:27" x14ac:dyDescent="0.25">
      <c r="A100" s="58"/>
      <c r="B100" s="58"/>
      <c r="C100" s="58"/>
      <c r="D100" s="58"/>
      <c r="E100" s="58"/>
      <c r="F100" s="58"/>
      <c r="G100" s="59"/>
      <c r="H100" s="58"/>
      <c r="I100" s="58"/>
      <c r="J100" s="58"/>
      <c r="K100" s="58"/>
      <c r="L100" s="58"/>
      <c r="M100" s="58"/>
      <c r="N100" s="58"/>
      <c r="O100" s="58"/>
      <c r="P100" s="58"/>
      <c r="Q100" s="58"/>
      <c r="R100" s="58"/>
      <c r="S100" s="58"/>
      <c r="T100" s="58"/>
      <c r="U100" s="58"/>
      <c r="V100" s="58"/>
      <c r="W100" s="58"/>
      <c r="X100" s="58"/>
      <c r="Y100" s="58"/>
      <c r="Z100" s="58"/>
      <c r="AA100" s="56"/>
    </row>
  </sheetData>
  <sheetProtection algorithmName="SHA-512" hashValue="IUA5uLyW0mrRZkyPJKKIRFc3+5hN1b0hecgM8dzHCtjOUVEzhalBCWCXogf3HWMbmjeUOfL+5zp1szCxL2zuFA==" saltValue="VgYrN/Jn0z4UXKKRqvjtkQ==" spinCount="100000" sheet="1" objects="1" scenarios="1" selectLockedCells="1"/>
  <mergeCells count="1">
    <mergeCell ref="N3:O3"/>
  </mergeCells>
  <conditionalFormatting sqref="H7">
    <cfRule type="cellIs" dxfId="10" priority="2" operator="greaterThan">
      <formula>VIN_op_max_56</formula>
    </cfRule>
    <cfRule type="cellIs" dxfId="9" priority="17" operator="greaterThan">
      <formula>VIN_op_max</formula>
    </cfRule>
    <cfRule type="cellIs" dxfId="8" priority="18" operator="lessThan">
      <formula>VIN_op_min</formula>
    </cfRule>
  </conditionalFormatting>
  <conditionalFormatting sqref="H8">
    <cfRule type="cellIs" dxfId="7" priority="16" operator="notBetween">
      <formula>$H$7</formula>
      <formula>$H$9</formula>
    </cfRule>
  </conditionalFormatting>
  <conditionalFormatting sqref="H9">
    <cfRule type="cellIs" dxfId="6" priority="1" operator="greaterThan">
      <formula>VIN_op_max_56</formula>
    </cfRule>
    <cfRule type="cellIs" dxfId="5" priority="13" operator="greaterThan">
      <formula>VIN_op_max</formula>
    </cfRule>
    <cfRule type="cellIs" dxfId="4" priority="14" operator="lessThan">
      <formula>VIN_op_min</formula>
    </cfRule>
  </conditionalFormatting>
  <conditionalFormatting sqref="H17">
    <cfRule type="cellIs" dxfId="3" priority="6" operator="greaterThan">
      <formula>$H$16</formula>
    </cfRule>
  </conditionalFormatting>
  <conditionalFormatting sqref="H57">
    <cfRule type="expression" dxfId="1" priority="11">
      <formula>$H$8&gt;$H$9</formula>
    </cfRule>
    <cfRule type="expression" dxfId="0" priority="12">
      <formula>$H$8&lt;$H$7</formula>
    </cfRule>
  </conditionalFormatting>
  <dataValidations count="1">
    <dataValidation type="list" allowBlank="1" showInputMessage="1" showErrorMessage="1" sqref="H18" xr:uid="{B6CBC9E4-52B2-4FA8-BCFD-24B327448BB5}">
      <formula1>CondMode</formula1>
    </dataValidation>
  </dataValidations>
  <hyperlinks>
    <hyperlink ref="N3" location="About!A1" display="TERMS OF USE" xr:uid="{EE270A3B-8816-419E-84BC-D008FEAD0366}"/>
    <hyperlink ref="N3:O3" location="Licenses!A1" display="TERMS OF USE" xr:uid="{7B8CA94F-4734-4CAD-88EF-98DE4E41009B}"/>
  </hyperlinks>
  <pageMargins left="0.2" right="0.2" top="0.25" bottom="0.25" header="0" footer="0"/>
  <pageSetup paperSize="9" scale="4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70" r:id="rId4" name="Drop Down 146">
              <controlPr defaultSize="0" print="0" autoLine="0" autoPict="0" altText="This is just there to fix the excel issue with comments and linked pictures">
                <anchor moveWithCells="1">
                  <from>
                    <xdr:col>14</xdr:col>
                    <xdr:colOff>590550</xdr:colOff>
                    <xdr:row>30</xdr:row>
                    <xdr:rowOff>85725</xdr:rowOff>
                  </from>
                  <to>
                    <xdr:col>16</xdr:col>
                    <xdr:colOff>219075</xdr:colOff>
                    <xdr:row>31</xdr:row>
                    <xdr:rowOff>114300</xdr:rowOff>
                  </to>
                </anchor>
              </controlPr>
            </control>
          </mc:Choice>
        </mc:AlternateContent>
        <mc:AlternateContent xmlns:mc="http://schemas.openxmlformats.org/markup-compatibility/2006">
          <mc:Choice Requires="x14">
            <control shapeId="1060" r:id="rId5" name="Spinner 36">
              <controlPr defaultSize="0" autoPict="0">
                <anchor moveWithCells="1" sizeWithCells="1">
                  <from>
                    <xdr:col>7</xdr:col>
                    <xdr:colOff>504825</xdr:colOff>
                    <xdr:row>56</xdr:row>
                    <xdr:rowOff>0</xdr:rowOff>
                  </from>
                  <to>
                    <xdr:col>8</xdr:col>
                    <xdr:colOff>9525</xdr:colOff>
                    <xdr:row>58</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3" id="{AB53E77D-5294-4F50-832B-89A6F7F8A8A1}">
            <xm:f>NOT(Variable_Management!$K$30)</xm:f>
            <x14:dxf>
              <font>
                <color rgb="FFC00000"/>
              </font>
              <fill>
                <patternFill>
                  <bgColor theme="5" tint="0.59996337778862885"/>
                </patternFill>
              </fill>
            </x14:dxf>
          </x14:cfRule>
          <xm:sqref>H23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256"/>
  <sheetViews>
    <sheetView zoomScale="85" zoomScaleNormal="85" workbookViewId="0">
      <pane ySplit="5" topLeftCell="A48" activePane="bottomLeft" state="frozen"/>
      <selection activeCell="N8" sqref="N8"/>
      <selection pane="bottomLeft" activeCell="B89" sqref="B89"/>
    </sheetView>
  </sheetViews>
  <sheetFormatPr defaultRowHeight="15" x14ac:dyDescent="0.25"/>
  <cols>
    <col min="1" max="1" width="28.85546875" customWidth="1"/>
    <col min="2" max="2" width="19.5703125" customWidth="1"/>
    <col min="3" max="3" width="10.85546875" customWidth="1"/>
    <col min="4" max="4" width="10" bestFit="1" customWidth="1"/>
    <col min="5" max="5" width="18.7109375" customWidth="1"/>
    <col min="6" max="6" width="14.7109375" customWidth="1"/>
    <col min="7" max="7" width="15.140625" customWidth="1"/>
    <col min="8" max="9" width="12.5703125" customWidth="1"/>
    <col min="11" max="11" width="12.85546875" bestFit="1" customWidth="1"/>
    <col min="12" max="14" width="12.28515625" bestFit="1" customWidth="1"/>
  </cols>
  <sheetData>
    <row r="1" spans="1:17" ht="27.75" x14ac:dyDescent="0.4">
      <c r="A1" s="229" t="s">
        <v>15</v>
      </c>
      <c r="B1" s="229"/>
      <c r="C1" s="229"/>
      <c r="D1" s="229"/>
      <c r="E1" s="229"/>
      <c r="F1" s="229"/>
      <c r="G1" s="229"/>
      <c r="H1" s="229"/>
      <c r="I1" s="229"/>
      <c r="J1" s="229"/>
    </row>
    <row r="2" spans="1:17" x14ac:dyDescent="0.25">
      <c r="A2" s="5"/>
      <c r="B2" s="5" t="s">
        <v>16</v>
      </c>
      <c r="C2" s="6"/>
      <c r="D2" s="4"/>
      <c r="E2" s="5"/>
      <c r="F2" s="5"/>
      <c r="G2" s="5"/>
      <c r="H2" s="5"/>
      <c r="I2" s="5"/>
      <c r="J2" s="5"/>
    </row>
    <row r="3" spans="1:17" x14ac:dyDescent="0.25">
      <c r="A3" s="5"/>
      <c r="B3" s="5" t="s">
        <v>17</v>
      </c>
      <c r="C3" s="7"/>
      <c r="D3" s="4"/>
      <c r="E3" s="5"/>
      <c r="F3" s="14" t="s">
        <v>63</v>
      </c>
      <c r="G3" s="15" t="s">
        <v>64</v>
      </c>
      <c r="H3" s="26" t="s">
        <v>67</v>
      </c>
      <c r="I3" s="5"/>
      <c r="J3" s="5"/>
    </row>
    <row r="4" spans="1:17" x14ac:dyDescent="0.25">
      <c r="A4" s="5"/>
      <c r="B4" s="5" t="s">
        <v>18</v>
      </c>
      <c r="C4" s="8"/>
      <c r="D4" s="4"/>
      <c r="E4" s="5"/>
      <c r="F4" s="5"/>
      <c r="G4" s="5"/>
      <c r="H4" s="5"/>
      <c r="I4" s="5"/>
      <c r="J4" s="5"/>
    </row>
    <row r="5" spans="1:17" x14ac:dyDescent="0.25">
      <c r="A5" s="9" t="s">
        <v>19</v>
      </c>
      <c r="B5" s="9" t="s">
        <v>20</v>
      </c>
      <c r="C5" s="9" t="s">
        <v>21</v>
      </c>
      <c r="D5" s="4"/>
      <c r="E5" s="230" t="s">
        <v>22</v>
      </c>
      <c r="F5" s="230"/>
      <c r="G5" s="230"/>
      <c r="H5" s="230"/>
      <c r="I5" s="5"/>
      <c r="J5" s="9" t="s">
        <v>23</v>
      </c>
      <c r="K5" s="9" t="s">
        <v>71</v>
      </c>
      <c r="L5" s="4"/>
      <c r="M5" s="4"/>
      <c r="N5" s="4"/>
      <c r="O5" s="4"/>
      <c r="P5" s="4"/>
      <c r="Q5" s="4"/>
    </row>
    <row r="6" spans="1:17" ht="15.75" x14ac:dyDescent="0.25">
      <c r="A6" s="10" t="s">
        <v>24</v>
      </c>
      <c r="B6" s="9"/>
      <c r="C6" s="9"/>
      <c r="D6" s="9"/>
      <c r="E6" s="5"/>
      <c r="F6" s="5"/>
      <c r="G6" s="5"/>
      <c r="H6" s="5"/>
      <c r="I6" s="5"/>
      <c r="J6" s="9"/>
      <c r="K6" s="4"/>
      <c r="L6" s="4"/>
      <c r="M6" s="4"/>
      <c r="N6" s="4"/>
      <c r="O6" s="4"/>
      <c r="P6" s="4"/>
      <c r="Q6" s="4"/>
    </row>
    <row r="7" spans="1:17" x14ac:dyDescent="0.25">
      <c r="A7" t="s">
        <v>25</v>
      </c>
      <c r="B7" s="3">
        <f>'Design Converter'!H7</f>
        <v>8</v>
      </c>
      <c r="C7" t="s">
        <v>10</v>
      </c>
      <c r="E7" t="s">
        <v>28</v>
      </c>
    </row>
    <row r="8" spans="1:17" x14ac:dyDescent="0.25">
      <c r="A8" t="s">
        <v>26</v>
      </c>
      <c r="B8" s="3">
        <f>'Design Converter'!H8</f>
        <v>24</v>
      </c>
      <c r="C8" t="s">
        <v>10</v>
      </c>
      <c r="E8" t="s">
        <v>29</v>
      </c>
      <c r="K8">
        <f>IF(VIN_min&lt;VIN_min,1,IF(VIN_nom&gt;VIN_max,1,0))</f>
        <v>0</v>
      </c>
    </row>
    <row r="9" spans="1:17" x14ac:dyDescent="0.25">
      <c r="A9" t="s">
        <v>27</v>
      </c>
      <c r="B9" s="3">
        <f>'Design Converter'!H9</f>
        <v>24</v>
      </c>
      <c r="C9" t="s">
        <v>10</v>
      </c>
      <c r="E9" t="s">
        <v>30</v>
      </c>
    </row>
    <row r="10" spans="1:17" x14ac:dyDescent="0.25">
      <c r="A10" t="s">
        <v>68</v>
      </c>
      <c r="B10" s="3">
        <f>'Design Converter'!H12*1000</f>
        <v>750000</v>
      </c>
      <c r="C10" t="s">
        <v>69</v>
      </c>
      <c r="E10" t="s">
        <v>70</v>
      </c>
    </row>
    <row r="11" spans="1:17" x14ac:dyDescent="0.25">
      <c r="A11" t="s">
        <v>73</v>
      </c>
      <c r="B11" s="18">
        <f>((2.21*10^10)/Fsw)-955</f>
        <v>28511.666666666668</v>
      </c>
      <c r="C11" s="2" t="s">
        <v>36</v>
      </c>
      <c r="E11" t="s">
        <v>74</v>
      </c>
    </row>
    <row r="13" spans="1:17" x14ac:dyDescent="0.25">
      <c r="A13" t="s">
        <v>31</v>
      </c>
      <c r="B13" s="3">
        <f>'Design Converter'!H10</f>
        <v>30</v>
      </c>
      <c r="C13" t="s">
        <v>10</v>
      </c>
      <c r="E13" t="s">
        <v>32</v>
      </c>
    </row>
    <row r="14" spans="1:17" x14ac:dyDescent="0.25">
      <c r="A14" t="s">
        <v>33</v>
      </c>
      <c r="B14" s="3">
        <f>'Design Converter'!H11</f>
        <v>2</v>
      </c>
      <c r="C14" t="s">
        <v>11</v>
      </c>
      <c r="E14" t="s">
        <v>34</v>
      </c>
    </row>
    <row r="15" spans="1:17" x14ac:dyDescent="0.25">
      <c r="A15" t="s">
        <v>35</v>
      </c>
      <c r="B15" s="1">
        <f>VOUT/IOUT</f>
        <v>15</v>
      </c>
      <c r="C15" s="2" t="s">
        <v>36</v>
      </c>
      <c r="E15" t="s">
        <v>42</v>
      </c>
    </row>
    <row r="16" spans="1:17" x14ac:dyDescent="0.25">
      <c r="A16" t="s">
        <v>37</v>
      </c>
      <c r="B16" s="1">
        <f>VOUT*IOUT</f>
        <v>60</v>
      </c>
      <c r="C16" s="2" t="s">
        <v>38</v>
      </c>
      <c r="E16" t="s">
        <v>41</v>
      </c>
    </row>
    <row r="17" spans="1:19" x14ac:dyDescent="0.25">
      <c r="A17" t="s">
        <v>39</v>
      </c>
      <c r="B17" s="11">
        <f>'Design Converter'!H14/100</f>
        <v>0.9</v>
      </c>
      <c r="E17" t="s">
        <v>40</v>
      </c>
    </row>
    <row r="19" spans="1:19" x14ac:dyDescent="0.25">
      <c r="A19" s="33" t="s">
        <v>519</v>
      </c>
    </row>
    <row r="20" spans="1:19" x14ac:dyDescent="0.25">
      <c r="A20" t="s">
        <v>43</v>
      </c>
      <c r="B20" s="1">
        <f>IF(B$36="DCM",B55,B39)</f>
        <v>0.73333333333333339</v>
      </c>
      <c r="E20" t="s">
        <v>44</v>
      </c>
    </row>
    <row r="21" spans="1:19" x14ac:dyDescent="0.25">
      <c r="A21" t="s">
        <v>45</v>
      </c>
      <c r="B21" s="12">
        <f>Constants!B20</f>
        <v>0.93</v>
      </c>
      <c r="E21" t="s">
        <v>46</v>
      </c>
      <c r="K21">
        <f>IF(((1-D_limit_nom)/Constants!B12)&lt;Fsw,1,0)</f>
        <v>0</v>
      </c>
    </row>
    <row r="23" spans="1:19" x14ac:dyDescent="0.25">
      <c r="A23" t="s">
        <v>82</v>
      </c>
      <c r="B23" s="1">
        <f>IF(B$36="DCM",B58,B42)</f>
        <v>0.73333333333333339</v>
      </c>
      <c r="E23" t="s">
        <v>506</v>
      </c>
    </row>
    <row r="24" spans="1:19" x14ac:dyDescent="0.25">
      <c r="B24" s="13">
        <f>IF(B$36="DCM",B59,B43)</f>
        <v>9.7777777777777778E-7</v>
      </c>
      <c r="C24" t="s">
        <v>54</v>
      </c>
      <c r="E24" t="s">
        <v>333</v>
      </c>
    </row>
    <row r="25" spans="1:19" x14ac:dyDescent="0.25">
      <c r="A25" t="s">
        <v>92</v>
      </c>
      <c r="B25" s="17">
        <f>IF(B$36="DCM",B60,B44)</f>
        <v>7.5</v>
      </c>
      <c r="C25" t="s">
        <v>11</v>
      </c>
      <c r="E25" t="s">
        <v>95</v>
      </c>
      <c r="K25" t="s">
        <v>559</v>
      </c>
      <c r="L25" t="s">
        <v>560</v>
      </c>
      <c r="M25" t="s">
        <v>572</v>
      </c>
    </row>
    <row r="26" spans="1:19" x14ac:dyDescent="0.25">
      <c r="J26" t="s">
        <v>561</v>
      </c>
      <c r="K26" t="b">
        <f>Dc_CCM_VIN_min&lt;B58</f>
        <v>1</v>
      </c>
      <c r="L26" t="b">
        <f>Dc_CCM_VIN_nom&lt;Dc_DCM_VIN_nom</f>
        <v>1</v>
      </c>
      <c r="M26" t="b">
        <f>Dc_CCM_VIN_max&lt;B66</f>
        <v>1</v>
      </c>
    </row>
    <row r="27" spans="1:19" x14ac:dyDescent="0.25">
      <c r="A27" t="s">
        <v>83</v>
      </c>
      <c r="B27" s="1">
        <f>IF(B$36="DCM",B62,B46)</f>
        <v>0.19999999999999996</v>
      </c>
      <c r="E27" t="s">
        <v>507</v>
      </c>
      <c r="J27" t="s">
        <v>565</v>
      </c>
      <c r="K27" t="b">
        <f>AND(K26:M26)</f>
        <v>1</v>
      </c>
    </row>
    <row r="28" spans="1:19" x14ac:dyDescent="0.25">
      <c r="B28" s="13">
        <f>IF(B$36="DCM",B63,B47)</f>
        <v>2.6666666666666662E-7</v>
      </c>
      <c r="C28" t="s">
        <v>54</v>
      </c>
      <c r="E28" t="s">
        <v>333</v>
      </c>
      <c r="J28" t="s">
        <v>566</v>
      </c>
      <c r="K28" t="b">
        <f>NOT(OR(K26:M26))</f>
        <v>0</v>
      </c>
    </row>
    <row r="29" spans="1:19" x14ac:dyDescent="0.25">
      <c r="A29" t="s">
        <v>93</v>
      </c>
      <c r="B29" s="17">
        <f>IF(B$36="DCM",B64,B48)</f>
        <v>2.5</v>
      </c>
      <c r="C29" t="s">
        <v>11</v>
      </c>
      <c r="E29" t="s">
        <v>96</v>
      </c>
      <c r="J29" t="s">
        <v>562</v>
      </c>
      <c r="K29" t="b">
        <f>NOT(OR(K27:K28))</f>
        <v>0</v>
      </c>
    </row>
    <row r="30" spans="1:19" x14ac:dyDescent="0.25">
      <c r="J30" t="s">
        <v>567</v>
      </c>
      <c r="K30" t="b">
        <f>IF(Dc_Mode="CCM",K27,IF(Dc_Mode="DCM",K28,K29))</f>
        <v>1</v>
      </c>
      <c r="P30" t="s">
        <v>557</v>
      </c>
      <c r="Q30" t="s">
        <v>555</v>
      </c>
      <c r="R30" t="s">
        <v>556</v>
      </c>
      <c r="S30" t="s">
        <v>558</v>
      </c>
    </row>
    <row r="31" spans="1:19" x14ac:dyDescent="0.25">
      <c r="A31" t="s">
        <v>84</v>
      </c>
      <c r="B31" s="1">
        <f>IF(B$36="DCM",B66,B50)</f>
        <v>0.19999999999999996</v>
      </c>
      <c r="E31" t="s">
        <v>508</v>
      </c>
      <c r="K31" t="s">
        <v>554</v>
      </c>
      <c r="L31" s="137">
        <f>VIN_min/(Fsw*2*IOUT)*Dc_VIN_min*(1-Dc_VIN_min)</f>
        <v>5.2148148148148143E-7</v>
      </c>
      <c r="M31" s="137">
        <f>VIN_nom/(Fsw*2*IOUT)*Dc_VIN_nom*(1-Dc_VIN_nom)</f>
        <v>1.2799999999999996E-6</v>
      </c>
      <c r="N31" s="137">
        <f>VIN_max/(Fsw*2*IOUT)*Dc_VIN_max*(1-Dc_VIN_max)</f>
        <v>1.2799999999999996E-6</v>
      </c>
      <c r="P31" s="137">
        <f>Q31*0.9</f>
        <v>4.693333333333333E-7</v>
      </c>
      <c r="Q31" s="137">
        <f>MIN(L31:N31)</f>
        <v>5.2148148148148143E-7</v>
      </c>
      <c r="R31" s="137">
        <f>MAX(L31:N31)</f>
        <v>1.2799999999999996E-6</v>
      </c>
      <c r="S31" s="137">
        <f>R31*1.1</f>
        <v>1.4079999999999997E-6</v>
      </c>
    </row>
    <row r="32" spans="1:19" x14ac:dyDescent="0.25">
      <c r="B32" s="13">
        <f>IF(B$36="DCM",B67,B51)</f>
        <v>2.6666666666666662E-7</v>
      </c>
      <c r="C32" t="s">
        <v>54</v>
      </c>
      <c r="E32" t="s">
        <v>333</v>
      </c>
    </row>
    <row r="33" spans="1:14" x14ac:dyDescent="0.25">
      <c r="A33" t="s">
        <v>94</v>
      </c>
      <c r="B33" s="17">
        <f>IF(B$36="DCM",B68,B52)</f>
        <v>2.5</v>
      </c>
      <c r="C33" t="s">
        <v>11</v>
      </c>
      <c r="E33" t="s">
        <v>97</v>
      </c>
    </row>
    <row r="34" spans="1:14" x14ac:dyDescent="0.25">
      <c r="N34" t="s">
        <v>553</v>
      </c>
    </row>
    <row r="35" spans="1:14" x14ac:dyDescent="0.25">
      <c r="A35" t="s">
        <v>534</v>
      </c>
      <c r="B35" s="140" t="str">
        <f>IF(AND(K35&lt;Lm,L35&lt;Lm,M35&lt;Lm),"CCM",IF(AND(K35&gt;Lm,L35&gt;Lm,M35&gt;Lm),"DCM","CCM/DCM"))</f>
        <v>CCM</v>
      </c>
      <c r="E35" t="s">
        <v>517</v>
      </c>
      <c r="K35" s="137">
        <f>VIN_min/(Fsw*2*IOUT)*Dc_CCM_VIN_min*(1-Dc_CCM_VIN_min)</f>
        <v>5.2148148148148143E-7</v>
      </c>
      <c r="L35" s="137">
        <f>IF(AND(B50&lt;0.5,B42&gt;0.5),VIN_min/(Fsw*2*IOUT)*0.5*(1-0.5),VIN_min/(Fsw*2*IOUT)*Dc_CCM_VIN_nom*(1-Dc_CCM_VIN_nom))</f>
        <v>6.6666666666666671E-7</v>
      </c>
      <c r="M35" s="137">
        <f>VIN_min/(Fsw*2*IOUT)*Dc_CCM_VIN_max*(1-Dc_VIN_max)</f>
        <v>4.2666666666666662E-7</v>
      </c>
      <c r="N35" t="b">
        <f>IF(Dc_Mode="CCM",IF(Lm&lt;MAX(K35,L35,M35),TRUE,IF(Lm&gt;MIN(K35,L35,M35),TRUE,FALSE)))</f>
        <v>1</v>
      </c>
    </row>
    <row r="36" spans="1:14" x14ac:dyDescent="0.25">
      <c r="A36" t="s">
        <v>533</v>
      </c>
      <c r="B36" s="139" t="str">
        <f>'Design Converter'!H18</f>
        <v>CCM</v>
      </c>
      <c r="E36" t="s">
        <v>516</v>
      </c>
      <c r="K36" t="str">
        <f>IF(OR(B35="CCM",B35="CCM/DCM"),"CCM","DCM")</f>
        <v>CCM</v>
      </c>
      <c r="L36" t="str">
        <f>IF(B35="CCM/DCM","DCM","")</f>
        <v/>
      </c>
    </row>
    <row r="38" spans="1:14" x14ac:dyDescent="0.25">
      <c r="A38" s="33" t="s">
        <v>495</v>
      </c>
    </row>
    <row r="39" spans="1:14" x14ac:dyDescent="0.25">
      <c r="A39" t="s">
        <v>509</v>
      </c>
      <c r="B39" s="1">
        <f>1-VIN_min/VOUT</f>
        <v>0.73333333333333339</v>
      </c>
      <c r="E39" t="s">
        <v>44</v>
      </c>
    </row>
    <row r="42" spans="1:14" x14ac:dyDescent="0.25">
      <c r="A42" t="s">
        <v>510</v>
      </c>
      <c r="B42" s="1">
        <f>1-VIN_min/VOUT</f>
        <v>0.73333333333333339</v>
      </c>
      <c r="E42" t="s">
        <v>85</v>
      </c>
    </row>
    <row r="43" spans="1:14" x14ac:dyDescent="0.25">
      <c r="B43" s="13">
        <f>B42/Fsw</f>
        <v>9.7777777777777778E-7</v>
      </c>
      <c r="C43" t="s">
        <v>54</v>
      </c>
      <c r="E43" t="s">
        <v>333</v>
      </c>
    </row>
    <row r="44" spans="1:14" x14ac:dyDescent="0.25">
      <c r="A44" t="s">
        <v>511</v>
      </c>
      <c r="B44" s="17">
        <f>(VOUT*IOUT)/(VIN_min)</f>
        <v>7.5</v>
      </c>
      <c r="C44" t="s">
        <v>11</v>
      </c>
      <c r="E44" t="s">
        <v>95</v>
      </c>
    </row>
    <row r="46" spans="1:14" x14ac:dyDescent="0.25">
      <c r="A46" t="s">
        <v>512</v>
      </c>
      <c r="B46" s="1">
        <f>1-VIN_nom/VOUT</f>
        <v>0.19999999999999996</v>
      </c>
      <c r="E46" t="s">
        <v>86</v>
      </c>
    </row>
    <row r="47" spans="1:14" x14ac:dyDescent="0.25">
      <c r="B47" s="13">
        <f>B46/Fsw</f>
        <v>2.6666666666666662E-7</v>
      </c>
      <c r="C47" t="s">
        <v>54</v>
      </c>
      <c r="E47" t="s">
        <v>333</v>
      </c>
    </row>
    <row r="48" spans="1:14" x14ac:dyDescent="0.25">
      <c r="A48" t="s">
        <v>513</v>
      </c>
      <c r="B48" s="17">
        <f>(VOUT*IOUT)/(VIN_nom)</f>
        <v>2.5</v>
      </c>
      <c r="C48" t="s">
        <v>11</v>
      </c>
      <c r="E48" t="s">
        <v>96</v>
      </c>
    </row>
    <row r="50" spans="1:5" x14ac:dyDescent="0.25">
      <c r="A50" t="s">
        <v>514</v>
      </c>
      <c r="B50" s="1">
        <f>1-VIN_max/VOUT</f>
        <v>0.19999999999999996</v>
      </c>
      <c r="E50" t="s">
        <v>87</v>
      </c>
    </row>
    <row r="51" spans="1:5" x14ac:dyDescent="0.25">
      <c r="B51" s="13">
        <f>B50/Fsw</f>
        <v>2.6666666666666662E-7</v>
      </c>
      <c r="C51" t="s">
        <v>54</v>
      </c>
      <c r="E51" t="s">
        <v>333</v>
      </c>
    </row>
    <row r="52" spans="1:5" x14ac:dyDescent="0.25">
      <c r="A52" t="s">
        <v>515</v>
      </c>
      <c r="B52" s="17">
        <f>(VOUT*IOUT)/(VIN_max)</f>
        <v>2.5</v>
      </c>
      <c r="C52" t="s">
        <v>11</v>
      </c>
      <c r="E52" t="s">
        <v>97</v>
      </c>
    </row>
    <row r="54" spans="1:5" x14ac:dyDescent="0.25">
      <c r="A54" s="33" t="s">
        <v>496</v>
      </c>
    </row>
    <row r="55" spans="1:5" x14ac:dyDescent="0.25">
      <c r="A55" t="s">
        <v>497</v>
      </c>
      <c r="B55" s="1">
        <f>1/VIN_min*SQRT(2*Lm*(VOUT-VIN_min)*Fsw*IOUT)</f>
        <v>2.6481125353730719</v>
      </c>
      <c r="E55" t="s">
        <v>44</v>
      </c>
    </row>
    <row r="58" spans="1:5" x14ac:dyDescent="0.25">
      <c r="A58" t="s">
        <v>501</v>
      </c>
      <c r="B58" s="1">
        <f>1/VIN_min*SQRT(2*Lm*(VOUT-VIN_min)*Fsw*IOUT)</f>
        <v>2.6481125353730719</v>
      </c>
      <c r="E58" t="s">
        <v>498</v>
      </c>
    </row>
    <row r="59" spans="1:5" x14ac:dyDescent="0.25">
      <c r="B59" s="13">
        <f>B58/Fsw</f>
        <v>3.5308167138307624E-6</v>
      </c>
      <c r="C59" t="s">
        <v>54</v>
      </c>
      <c r="E59" t="s">
        <v>333</v>
      </c>
    </row>
    <row r="60" spans="1:5" x14ac:dyDescent="0.25">
      <c r="A60" t="s">
        <v>502</v>
      </c>
      <c r="B60" s="17">
        <f>(VOUT*IOUT)/(VIN_min)</f>
        <v>7.5</v>
      </c>
      <c r="C60" t="s">
        <v>11</v>
      </c>
      <c r="E60" t="s">
        <v>95</v>
      </c>
    </row>
    <row r="62" spans="1:5" x14ac:dyDescent="0.25">
      <c r="A62" t="s">
        <v>503</v>
      </c>
      <c r="B62" s="1">
        <f>1/VIN_nom*SQRT(2*Lm*(VOUT-VIN_nom)*Fsw*IOUT)</f>
        <v>0.46097722286464432</v>
      </c>
      <c r="E62" t="s">
        <v>499</v>
      </c>
    </row>
    <row r="63" spans="1:5" x14ac:dyDescent="0.25">
      <c r="B63" s="13">
        <f>B62/Fsw</f>
        <v>6.1463629715285913E-7</v>
      </c>
      <c r="C63" t="s">
        <v>54</v>
      </c>
      <c r="E63" t="s">
        <v>333</v>
      </c>
    </row>
    <row r="64" spans="1:5" x14ac:dyDescent="0.25">
      <c r="A64" t="s">
        <v>504</v>
      </c>
      <c r="B64" s="17">
        <f>(VOUT*IOUT)/(VIN_nom)</f>
        <v>2.5</v>
      </c>
      <c r="C64" t="s">
        <v>11</v>
      </c>
      <c r="E64" t="s">
        <v>96</v>
      </c>
    </row>
    <row r="66" spans="1:5" x14ac:dyDescent="0.25">
      <c r="A66" t="s">
        <v>505</v>
      </c>
      <c r="B66" s="1">
        <f>1/VIN_max*SQRT(2*Lm*(VOUT-VIN_max)*Fsw*IOUT)</f>
        <v>0.46097722286464432</v>
      </c>
      <c r="E66" t="s">
        <v>500</v>
      </c>
    </row>
    <row r="67" spans="1:5" x14ac:dyDescent="0.25">
      <c r="B67" s="13">
        <f>B66/Fsw</f>
        <v>6.1463629715285913E-7</v>
      </c>
      <c r="C67" t="s">
        <v>54</v>
      </c>
      <c r="E67" t="s">
        <v>333</v>
      </c>
    </row>
    <row r="68" spans="1:5" x14ac:dyDescent="0.25">
      <c r="A68" t="s">
        <v>94</v>
      </c>
      <c r="B68" s="17">
        <f>(VOUT*IOUT)/(VIN_max)</f>
        <v>2.5</v>
      </c>
      <c r="C68" t="s">
        <v>11</v>
      </c>
      <c r="E68" t="s">
        <v>97</v>
      </c>
    </row>
    <row r="70" spans="1:5" x14ac:dyDescent="0.25">
      <c r="A70" s="19" t="s">
        <v>77</v>
      </c>
    </row>
    <row r="71" spans="1:5" x14ac:dyDescent="0.25">
      <c r="A71" t="s">
        <v>99</v>
      </c>
      <c r="B71" s="3">
        <f>'Design Converter'!H21/100</f>
        <v>0.6</v>
      </c>
      <c r="E71" t="s">
        <v>122</v>
      </c>
    </row>
    <row r="72" spans="1:5" x14ac:dyDescent="0.25">
      <c r="A72" s="22" t="s">
        <v>107</v>
      </c>
    </row>
    <row r="73" spans="1:5" x14ac:dyDescent="0.25">
      <c r="A73" t="s">
        <v>90</v>
      </c>
      <c r="B73" s="25">
        <f>(VIN_min*Dc_VIN_min)/(IL_avg_VIN_min*ILrip*Fsw)</f>
        <v>1.7382716049382718E-6</v>
      </c>
      <c r="C73" t="s">
        <v>98</v>
      </c>
      <c r="E73" t="s">
        <v>91</v>
      </c>
    </row>
    <row r="74" spans="1:5" x14ac:dyDescent="0.25">
      <c r="A74" t="s">
        <v>569</v>
      </c>
      <c r="B74" s="25">
        <f>(VIN_nom*Dc_VIN_nom)/(IL_avg_VIN_nom*ILrip*Fsw)</f>
        <v>4.2666666666666659E-6</v>
      </c>
      <c r="C74" t="s">
        <v>98</v>
      </c>
      <c r="E74" t="s">
        <v>570</v>
      </c>
    </row>
    <row r="75" spans="1:5" x14ac:dyDescent="0.25">
      <c r="A75" t="s">
        <v>568</v>
      </c>
      <c r="B75" s="25">
        <f>(VIN_max*Dc_VIN_max)/(IL_avg_VIN_max*ILrip*Fsw)</f>
        <v>4.2666666666666659E-6</v>
      </c>
      <c r="C75" t="s">
        <v>98</v>
      </c>
      <c r="E75" t="s">
        <v>571</v>
      </c>
    </row>
    <row r="76" spans="1:5" x14ac:dyDescent="0.25">
      <c r="A76" t="s">
        <v>100</v>
      </c>
      <c r="B76" s="25">
        <f>AVERAGE(B73:B75)</f>
        <v>3.4238683127572011E-6</v>
      </c>
      <c r="C76" t="s">
        <v>98</v>
      </c>
      <c r="E76" t="s">
        <v>101</v>
      </c>
    </row>
    <row r="78" spans="1:5" x14ac:dyDescent="0.25">
      <c r="A78" s="22" t="s">
        <v>108</v>
      </c>
    </row>
    <row r="79" spans="1:5" x14ac:dyDescent="0.25">
      <c r="A79" t="s">
        <v>133</v>
      </c>
      <c r="B79" s="12">
        <v>0.33</v>
      </c>
      <c r="C79" t="s">
        <v>13</v>
      </c>
      <c r="E79" t="s">
        <v>132</v>
      </c>
    </row>
    <row r="80" spans="1:5" x14ac:dyDescent="0.25">
      <c r="A80" t="s">
        <v>109</v>
      </c>
      <c r="B80" s="1">
        <f>IF(Dc_VIN_max&lt;Dc_rip_max,VOUT*(1-Dc_rip_max),VOUT*(1-Dc_VIN_max))</f>
        <v>20.099999999999998</v>
      </c>
      <c r="C80" t="s">
        <v>10</v>
      </c>
      <c r="E80" t="s">
        <v>136</v>
      </c>
    </row>
    <row r="81" spans="1:5" x14ac:dyDescent="0.25">
      <c r="A81" t="s">
        <v>110</v>
      </c>
      <c r="B81" s="16">
        <f>(VOUT*IOUT)/(VIN_33)</f>
        <v>2.9850746268656718</v>
      </c>
      <c r="C81" t="s">
        <v>11</v>
      </c>
      <c r="E81" t="s">
        <v>135</v>
      </c>
    </row>
    <row r="82" spans="1:5" x14ac:dyDescent="0.25">
      <c r="A82" t="s">
        <v>111</v>
      </c>
      <c r="B82" s="25">
        <f>(VIN_33*0.33)/(IIN_33*ILrip*Fsw)</f>
        <v>4.9378999999999998E-6</v>
      </c>
      <c r="C82" t="s">
        <v>98</v>
      </c>
      <c r="E82" t="s">
        <v>134</v>
      </c>
    </row>
    <row r="84" spans="1:5" x14ac:dyDescent="0.25">
      <c r="A84" t="s">
        <v>102</v>
      </c>
      <c r="B84" s="21">
        <f>'Design Converter'!H23*10^-6</f>
        <v>6.7999999999999993E-6</v>
      </c>
      <c r="C84" t="s">
        <v>98</v>
      </c>
      <c r="E84" t="s">
        <v>103</v>
      </c>
    </row>
    <row r="85" spans="1:5" x14ac:dyDescent="0.25">
      <c r="A85" t="s">
        <v>104</v>
      </c>
      <c r="B85" s="3">
        <f>'Design Converter'!H24*10^-3</f>
        <v>0.02</v>
      </c>
      <c r="C85" s="2" t="s">
        <v>36</v>
      </c>
      <c r="E85" t="s">
        <v>137</v>
      </c>
    </row>
    <row r="86" spans="1:5" x14ac:dyDescent="0.25">
      <c r="A86" t="s">
        <v>138</v>
      </c>
      <c r="B86" s="12">
        <v>0.2</v>
      </c>
      <c r="C86" s="2"/>
      <c r="E86" t="s">
        <v>139</v>
      </c>
    </row>
    <row r="88" spans="1:5" x14ac:dyDescent="0.25">
      <c r="A88" s="22" t="s">
        <v>573</v>
      </c>
      <c r="C88" s="2"/>
    </row>
    <row r="89" spans="1:5" x14ac:dyDescent="0.25">
      <c r="A89" t="s">
        <v>574</v>
      </c>
      <c r="B89" s="227">
        <f>VIN_min/(2*Fsw*IOUT)*(1-VIN_min/VOUT)*(1-(1-VIN_min/VOUT))</f>
        <v>5.2148148148148143E-7</v>
      </c>
      <c r="C89" s="2"/>
    </row>
    <row r="90" spans="1:5" x14ac:dyDescent="0.25">
      <c r="C90" s="2"/>
    </row>
    <row r="91" spans="1:5" x14ac:dyDescent="0.25">
      <c r="A91" s="22" t="s">
        <v>495</v>
      </c>
      <c r="C91" s="2"/>
    </row>
    <row r="92" spans="1:5" x14ac:dyDescent="0.25">
      <c r="A92" t="s">
        <v>115</v>
      </c>
      <c r="B92" s="16">
        <f>(VIN_min*Dc_VIN_min)/(Lm*Fsw)</f>
        <v>1.150326797385621</v>
      </c>
      <c r="C92" t="s">
        <v>11</v>
      </c>
      <c r="E92" t="s">
        <v>116</v>
      </c>
    </row>
    <row r="93" spans="1:5" x14ac:dyDescent="0.25">
      <c r="A93" t="s">
        <v>113</v>
      </c>
      <c r="B93" s="16">
        <f>(IL_avg_VIN_min/EFF_est)+(ILrip_VINmin/2)</f>
        <v>8.9084967320261441</v>
      </c>
      <c r="C93" t="s">
        <v>11</v>
      </c>
      <c r="E93" t="s">
        <v>114</v>
      </c>
    </row>
    <row r="95" spans="1:5" x14ac:dyDescent="0.25">
      <c r="A95" t="s">
        <v>117</v>
      </c>
      <c r="B95" s="16">
        <f>(VIN_nom*Dc_VIN_nom)/(Lm*Fsw)</f>
        <v>0.94117647058823517</v>
      </c>
      <c r="C95" t="s">
        <v>11</v>
      </c>
      <c r="E95" t="s">
        <v>123</v>
      </c>
    </row>
    <row r="96" spans="1:5" x14ac:dyDescent="0.25">
      <c r="A96" t="s">
        <v>118</v>
      </c>
      <c r="B96" s="16">
        <f>(IL_avg_VIN_nom/EFF_est)+(ILrip_VINnom/2)</f>
        <v>3.2483660130718954</v>
      </c>
      <c r="C96" t="s">
        <v>11</v>
      </c>
      <c r="E96" t="s">
        <v>124</v>
      </c>
    </row>
    <row r="98" spans="1:5" x14ac:dyDescent="0.25">
      <c r="A98" t="s">
        <v>119</v>
      </c>
      <c r="B98" s="16">
        <f>(VIN_max*Dc_VIN_max)/(Lm*Fsw)</f>
        <v>0.94117647058823517</v>
      </c>
      <c r="C98" t="s">
        <v>11</v>
      </c>
      <c r="E98" t="s">
        <v>125</v>
      </c>
    </row>
    <row r="99" spans="1:5" x14ac:dyDescent="0.25">
      <c r="A99" t="s">
        <v>120</v>
      </c>
      <c r="B99" s="16">
        <f>(IL_avg_VIN_max/EFF_est)+(ILrip_VINmax/2)</f>
        <v>3.2483660130718954</v>
      </c>
      <c r="C99" t="s">
        <v>11</v>
      </c>
      <c r="E99" t="s">
        <v>126</v>
      </c>
    </row>
    <row r="100" spans="1:5" x14ac:dyDescent="0.25">
      <c r="C100" s="2"/>
    </row>
    <row r="101" spans="1:5" x14ac:dyDescent="0.25">
      <c r="A101" s="22" t="s">
        <v>496</v>
      </c>
      <c r="C101" s="2"/>
    </row>
    <row r="102" spans="1:5" x14ac:dyDescent="0.25">
      <c r="A102" t="s">
        <v>115</v>
      </c>
      <c r="B102" s="16">
        <f>(VIN_min*Dc_VIN_min)/(Lm*Fsw)</f>
        <v>1.150326797385621</v>
      </c>
      <c r="C102" t="s">
        <v>11</v>
      </c>
      <c r="E102" t="s">
        <v>116</v>
      </c>
    </row>
    <row r="103" spans="1:5" x14ac:dyDescent="0.25">
      <c r="A103" t="s">
        <v>113</v>
      </c>
      <c r="B103" s="16">
        <f>B102</f>
        <v>1.150326797385621</v>
      </c>
      <c r="C103" t="s">
        <v>11</v>
      </c>
      <c r="E103" t="s">
        <v>114</v>
      </c>
    </row>
    <row r="105" spans="1:5" x14ac:dyDescent="0.25">
      <c r="A105" t="s">
        <v>117</v>
      </c>
      <c r="B105" s="16">
        <f>(VIN_nom*Dc_VIN_nom)/(Lm*Fsw)</f>
        <v>0.94117647058823517</v>
      </c>
      <c r="C105" t="s">
        <v>11</v>
      </c>
      <c r="E105" t="s">
        <v>123</v>
      </c>
    </row>
    <row r="106" spans="1:5" x14ac:dyDescent="0.25">
      <c r="A106" t="s">
        <v>118</v>
      </c>
      <c r="B106" s="16">
        <f>B105</f>
        <v>0.94117647058823517</v>
      </c>
      <c r="C106" t="s">
        <v>11</v>
      </c>
      <c r="E106" t="s">
        <v>124</v>
      </c>
    </row>
    <row r="108" spans="1:5" x14ac:dyDescent="0.25">
      <c r="A108" t="s">
        <v>119</v>
      </c>
      <c r="B108" s="16">
        <f>(VIN_max*Dc_VIN_max)/(Lm*Fsw)</f>
        <v>0.94117647058823517</v>
      </c>
      <c r="C108" t="s">
        <v>11</v>
      </c>
      <c r="E108" t="s">
        <v>125</v>
      </c>
    </row>
    <row r="109" spans="1:5" x14ac:dyDescent="0.25">
      <c r="A109" t="s">
        <v>120</v>
      </c>
      <c r="B109" s="16">
        <f>B108</f>
        <v>0.94117647058823517</v>
      </c>
      <c r="C109" t="s">
        <v>11</v>
      </c>
      <c r="E109" t="s">
        <v>126</v>
      </c>
    </row>
    <row r="110" spans="1:5" x14ac:dyDescent="0.25">
      <c r="C110" s="2"/>
    </row>
    <row r="111" spans="1:5" x14ac:dyDescent="0.25">
      <c r="A111" s="22" t="s">
        <v>324</v>
      </c>
      <c r="B111" t="s">
        <v>112</v>
      </c>
    </row>
    <row r="112" spans="1:5" x14ac:dyDescent="0.25">
      <c r="A112" t="s">
        <v>115</v>
      </c>
      <c r="B112" s="16">
        <f>IF(B$36="CCM",B92,B102)</f>
        <v>1.150326797385621</v>
      </c>
      <c r="C112" t="s">
        <v>11</v>
      </c>
      <c r="E112" t="s">
        <v>116</v>
      </c>
    </row>
    <row r="113" spans="1:13" x14ac:dyDescent="0.25">
      <c r="A113" t="s">
        <v>113</v>
      </c>
      <c r="B113" s="16">
        <f>IF(B$36="CCM",B93,B103)</f>
        <v>8.9084967320261441</v>
      </c>
      <c r="C113" t="s">
        <v>11</v>
      </c>
      <c r="E113" t="s">
        <v>114</v>
      </c>
    </row>
    <row r="115" spans="1:13" x14ac:dyDescent="0.25">
      <c r="A115" t="s">
        <v>117</v>
      </c>
      <c r="B115" s="16">
        <f>IF(B$36="CCM",B95,B105)</f>
        <v>0.94117647058823517</v>
      </c>
      <c r="C115" t="s">
        <v>11</v>
      </c>
      <c r="E115" t="s">
        <v>123</v>
      </c>
    </row>
    <row r="116" spans="1:13" x14ac:dyDescent="0.25">
      <c r="A116" t="s">
        <v>118</v>
      </c>
      <c r="B116" s="16">
        <f>IF(B$36="CCM",B96,B106)</f>
        <v>3.2483660130718954</v>
      </c>
      <c r="C116" t="s">
        <v>11</v>
      </c>
      <c r="E116" t="s">
        <v>124</v>
      </c>
    </row>
    <row r="118" spans="1:13" x14ac:dyDescent="0.25">
      <c r="A118" t="s">
        <v>119</v>
      </c>
      <c r="B118" s="16">
        <f>IF(B$36="CCM",B98,B108)</f>
        <v>0.94117647058823517</v>
      </c>
      <c r="C118" t="s">
        <v>11</v>
      </c>
      <c r="E118" t="s">
        <v>125</v>
      </c>
    </row>
    <row r="119" spans="1:13" x14ac:dyDescent="0.25">
      <c r="A119" t="s">
        <v>120</v>
      </c>
      <c r="B119" s="16">
        <f>IF(B$36="CCM",B99,B109)</f>
        <v>3.2483660130718954</v>
      </c>
      <c r="C119" t="s">
        <v>11</v>
      </c>
      <c r="E119" t="s">
        <v>126</v>
      </c>
    </row>
    <row r="121" spans="1:13" x14ac:dyDescent="0.25">
      <c r="A121" s="19" t="s">
        <v>121</v>
      </c>
    </row>
    <row r="122" spans="1:13" x14ac:dyDescent="0.25">
      <c r="A122" t="s">
        <v>128</v>
      </c>
      <c r="B122" s="3">
        <f>'Design Converter'!H28/100</f>
        <v>0.2</v>
      </c>
      <c r="E122" t="s">
        <v>129</v>
      </c>
    </row>
    <row r="123" spans="1:13" x14ac:dyDescent="0.25">
      <c r="A123" t="s">
        <v>130</v>
      </c>
      <c r="B123" s="17">
        <f>(1+Ipk_margin)*ILp_VINmin</f>
        <v>10.690196078431372</v>
      </c>
      <c r="C123" t="s">
        <v>11</v>
      </c>
      <c r="E123" t="s">
        <v>131</v>
      </c>
    </row>
    <row r="124" spans="1:13" x14ac:dyDescent="0.25">
      <c r="B124" s="17"/>
    </row>
    <row r="125" spans="1:13" x14ac:dyDescent="0.25">
      <c r="A125" t="s">
        <v>142</v>
      </c>
      <c r="B125" s="12">
        <v>0.6</v>
      </c>
      <c r="E125" t="s">
        <v>143</v>
      </c>
      <c r="J125">
        <f>Fsw*Isl*Rsl_int*Lm</f>
        <v>0.20394899999999996</v>
      </c>
    </row>
    <row r="126" spans="1:13" x14ac:dyDescent="0.25">
      <c r="J126">
        <f>Isl</f>
        <v>2.9999999999999997E-5</v>
      </c>
      <c r="K126">
        <f>Fsw</f>
        <v>750000</v>
      </c>
      <c r="L126">
        <f>Lm</f>
        <v>6.7999999999999993E-6</v>
      </c>
      <c r="M126">
        <f>Rsl_int</f>
        <v>1333</v>
      </c>
    </row>
    <row r="127" spans="1:13" x14ac:dyDescent="0.25">
      <c r="A127" t="s">
        <v>140</v>
      </c>
      <c r="B127" s="25">
        <f>(1/B125)*((Fsw*Isl*Rsl_int*Lm)/(VOUT-VIN_min))</f>
        <v>1.5450681818181817E-2</v>
      </c>
      <c r="C127" s="2" t="s">
        <v>36</v>
      </c>
      <c r="E127" t="s">
        <v>141</v>
      </c>
    </row>
    <row r="128" spans="1:13" x14ac:dyDescent="0.25">
      <c r="A128" t="s">
        <v>148</v>
      </c>
      <c r="B128" s="25">
        <f>Vcl/Ipk_selected</f>
        <v>9.3543653705062367E-3</v>
      </c>
      <c r="C128" s="2" t="s">
        <v>36</v>
      </c>
      <c r="E128" t="s">
        <v>149</v>
      </c>
    </row>
    <row r="130" spans="1:11" x14ac:dyDescent="0.25">
      <c r="A130" t="s">
        <v>155</v>
      </c>
      <c r="B130" s="12">
        <v>0.83299999999999996</v>
      </c>
      <c r="E130" t="s">
        <v>156</v>
      </c>
    </row>
    <row r="131" spans="1:11" x14ac:dyDescent="0.25">
      <c r="A131" t="s">
        <v>154</v>
      </c>
      <c r="B131" s="24">
        <f>(Lm*Fsw*(Vcl+(Dc_VIN_min*Isl*Rsl_int)))/((Dc_VIN_min*Kslope*VOUT)-(Dc_VIN_min*Kslope*VIN_min)+(Ipk_selected*Lm*Fsw))</f>
        <v>9.7052922053078999E-3</v>
      </c>
      <c r="C131" s="2" t="s">
        <v>36</v>
      </c>
      <c r="E131" t="s">
        <v>165</v>
      </c>
    </row>
    <row r="132" spans="1:11" x14ac:dyDescent="0.25">
      <c r="A132" t="s">
        <v>157</v>
      </c>
      <c r="B132" s="16">
        <f>(Vcl-(Ipk_selected*Rcs_w_sl))/(Isl*Dc_VIN_min)</f>
        <v>-170.52166696423055</v>
      </c>
      <c r="C132" s="2" t="s">
        <v>36</v>
      </c>
      <c r="E132" t="s">
        <v>164</v>
      </c>
    </row>
    <row r="134" spans="1:11" x14ac:dyDescent="0.25">
      <c r="A134" t="s">
        <v>152</v>
      </c>
      <c r="B134" s="1">
        <f>IF(AND(Rcs_wo_sl&gt;Rcs_max,OR(B36="CCM",B36="CCM/DCM")),1,0)</f>
        <v>0</v>
      </c>
      <c r="E134" t="s">
        <v>153</v>
      </c>
    </row>
    <row r="135" spans="1:11" x14ac:dyDescent="0.25">
      <c r="A135" t="s">
        <v>158</v>
      </c>
      <c r="B135" s="27">
        <f>IF(B134=0,Rcs_wo_sl,Rcs_w_sl)</f>
        <v>9.3543653705062367E-3</v>
      </c>
      <c r="C135" s="2" t="s">
        <v>36</v>
      </c>
      <c r="E135" t="s">
        <v>162</v>
      </c>
    </row>
    <row r="136" spans="1:11" x14ac:dyDescent="0.25">
      <c r="A136" t="s">
        <v>159</v>
      </c>
      <c r="B136" s="1">
        <f>IF(K136&gt;Rsl_max,Rsl_max,K136)</f>
        <v>0</v>
      </c>
      <c r="C136" s="2" t="s">
        <v>36</v>
      </c>
      <c r="E136" t="s">
        <v>163</v>
      </c>
      <c r="K136">
        <f>IF(B134=0,0,B132)</f>
        <v>0</v>
      </c>
    </row>
    <row r="138" spans="1:11" x14ac:dyDescent="0.25">
      <c r="A138" t="s">
        <v>160</v>
      </c>
      <c r="B138" s="28">
        <f>'Design Converter'!H32/1000</f>
        <v>0.01</v>
      </c>
      <c r="C138" s="2" t="s">
        <v>36</v>
      </c>
      <c r="E138" t="s">
        <v>167</v>
      </c>
    </row>
    <row r="139" spans="1:11" x14ac:dyDescent="0.25">
      <c r="A139" t="s">
        <v>161</v>
      </c>
      <c r="B139" s="3">
        <f>'Design Converter'!H33</f>
        <v>267</v>
      </c>
      <c r="C139" s="2" t="s">
        <v>36</v>
      </c>
      <c r="E139" t="s">
        <v>168</v>
      </c>
    </row>
    <row r="141" spans="1:11" x14ac:dyDescent="0.25">
      <c r="A141" t="s">
        <v>172</v>
      </c>
      <c r="B141" s="1">
        <f>(Isl*(Rsl_int+R_sl)*Fsw)/(((VOUT-VIN_min)/Lm)*R_cs)</f>
        <v>1.1127272727272723</v>
      </c>
      <c r="C141" t="s">
        <v>180</v>
      </c>
      <c r="E141" t="s">
        <v>170</v>
      </c>
      <c r="K141">
        <f>IF(B141&lt;0.5,1,0)</f>
        <v>0</v>
      </c>
    </row>
    <row r="142" spans="1:11" x14ac:dyDescent="0.25">
      <c r="A142" t="s">
        <v>174</v>
      </c>
      <c r="B142" s="17">
        <f>(Vcl-(Isl*R_sl*Dc_VIN_min))/R_cs</f>
        <v>9.4125999999999994</v>
      </c>
      <c r="C142" t="s">
        <v>11</v>
      </c>
      <c r="E142" t="s">
        <v>176</v>
      </c>
      <c r="K142">
        <f>IF(IL_pk&lt;Ipk_selected,1,0)</f>
        <v>1</v>
      </c>
    </row>
    <row r="143" spans="1:11" x14ac:dyDescent="0.25">
      <c r="A143" t="s">
        <v>175</v>
      </c>
      <c r="B143" s="17">
        <f>(Vcl-(Isl*R_sl*Dc_VIN_max))/R_cs</f>
        <v>9.8398000000000003</v>
      </c>
      <c r="C143" t="s">
        <v>11</v>
      </c>
      <c r="E143" t="s">
        <v>177</v>
      </c>
    </row>
    <row r="144" spans="1:11" x14ac:dyDescent="0.25">
      <c r="A144" t="s">
        <v>178</v>
      </c>
      <c r="B144" s="1">
        <f>0.15</f>
        <v>0.15</v>
      </c>
      <c r="E144" t="s">
        <v>179</v>
      </c>
    </row>
    <row r="145" spans="1:5" x14ac:dyDescent="0.25">
      <c r="A145" t="s">
        <v>181</v>
      </c>
      <c r="B145" s="16">
        <f>(1+B144)*B143</f>
        <v>11.315769999999999</v>
      </c>
      <c r="C145" t="s">
        <v>11</v>
      </c>
      <c r="E145" t="s">
        <v>182</v>
      </c>
    </row>
    <row r="147" spans="1:5" x14ac:dyDescent="0.25">
      <c r="A147" s="22" t="s">
        <v>183</v>
      </c>
    </row>
    <row r="148" spans="1:5" x14ac:dyDescent="0.25">
      <c r="A148" t="s">
        <v>184</v>
      </c>
    </row>
    <row r="150" spans="1:5" x14ac:dyDescent="0.25">
      <c r="A150" s="30" t="s">
        <v>185</v>
      </c>
    </row>
    <row r="152" spans="1:5" x14ac:dyDescent="0.25">
      <c r="A152" t="s">
        <v>190</v>
      </c>
      <c r="B152" s="31">
        <f>'Design Converter'!H38/1000</f>
        <v>0.01</v>
      </c>
      <c r="C152" t="s">
        <v>10</v>
      </c>
      <c r="E152" t="s">
        <v>189</v>
      </c>
    </row>
    <row r="153" spans="1:5" x14ac:dyDescent="0.25">
      <c r="A153" t="s">
        <v>192</v>
      </c>
      <c r="B153" s="1">
        <f>IOUT*Dc_VIN_min/(Fsw*Vout_rip_sel)</f>
        <v>1.9555555555555556E-4</v>
      </c>
      <c r="C153" t="s">
        <v>193</v>
      </c>
      <c r="E153" t="s">
        <v>194</v>
      </c>
    </row>
    <row r="154" spans="1:5" x14ac:dyDescent="0.25">
      <c r="A154" t="s">
        <v>196</v>
      </c>
      <c r="B154" s="16">
        <f>SQRT((1-Dc_VIN_min)*((IOUT^2)*(Dc_VIN_min/((1-Dc_VIN_min)^2))+((ILrip_VINmin^2)/3)))</f>
        <v>3.33430988016389</v>
      </c>
      <c r="C154" t="s">
        <v>11</v>
      </c>
      <c r="E154" t="s">
        <v>197</v>
      </c>
    </row>
    <row r="155" spans="1:5" x14ac:dyDescent="0.25">
      <c r="A155" t="s">
        <v>202</v>
      </c>
      <c r="B155" s="3">
        <f>'Design Converter'!H41*(10^-6)</f>
        <v>1E-3</v>
      </c>
      <c r="C155" t="s">
        <v>193</v>
      </c>
      <c r="E155" t="s">
        <v>200</v>
      </c>
    </row>
    <row r="156" spans="1:5" x14ac:dyDescent="0.25">
      <c r="A156" t="s">
        <v>199</v>
      </c>
      <c r="B156" s="3">
        <f>'Design Converter'!H42/1000</f>
        <v>5.0000000000000001E-3</v>
      </c>
      <c r="C156" s="2" t="s">
        <v>36</v>
      </c>
      <c r="E156" t="s">
        <v>201</v>
      </c>
    </row>
    <row r="157" spans="1:5" x14ac:dyDescent="0.25">
      <c r="A157" t="s">
        <v>331</v>
      </c>
      <c r="B157">
        <f>SQRT((IOUT^2)+(IL_avg_VIN_min^2)-(2*IOUT*IL_avg_VIN_min)-(2*Dc_VIN_min*(IOUT^2))-(Dc_VIN_min*(IL_avg_VIN_min^2))+(2*Dc_VIN_min*IOUT*IL_avg_VIN_min))</f>
        <v>2.2656860623955235</v>
      </c>
      <c r="E157" s="38" t="s">
        <v>332</v>
      </c>
    </row>
    <row r="159" spans="1:5" x14ac:dyDescent="0.25">
      <c r="A159" s="30" t="s">
        <v>350</v>
      </c>
    </row>
    <row r="160" spans="1:5" x14ac:dyDescent="0.25">
      <c r="A160" t="s">
        <v>335</v>
      </c>
      <c r="B160" s="12">
        <f>Iss</f>
        <v>9.9999999999999991E-6</v>
      </c>
      <c r="C160" t="s">
        <v>11</v>
      </c>
      <c r="E160" t="s">
        <v>337</v>
      </c>
    </row>
    <row r="161" spans="1:5" x14ac:dyDescent="0.25">
      <c r="A161" t="s">
        <v>338</v>
      </c>
      <c r="B161" s="1">
        <f>Iss*VOUT*Cout/(Vref*IOUT)</f>
        <v>1.4999999999999999E-7</v>
      </c>
      <c r="C161" t="s">
        <v>193</v>
      </c>
      <c r="E161" t="s">
        <v>339</v>
      </c>
    </row>
    <row r="162" spans="1:5" x14ac:dyDescent="0.25">
      <c r="A162" t="s">
        <v>340</v>
      </c>
      <c r="B162" s="3">
        <f>'Design Converter'!H46*(10^-3)</f>
        <v>0.02</v>
      </c>
      <c r="C162" t="s">
        <v>54</v>
      </c>
      <c r="E162" t="s">
        <v>341</v>
      </c>
    </row>
    <row r="163" spans="1:5" x14ac:dyDescent="0.25">
      <c r="A163" t="s">
        <v>344</v>
      </c>
      <c r="B163" s="1">
        <f>(tss*Iss)/(Vref*(1-(VIN_min/VOUT)))</f>
        <v>2.7272727272727269E-7</v>
      </c>
      <c r="C163" t="s">
        <v>193</v>
      </c>
      <c r="E163" t="s">
        <v>345</v>
      </c>
    </row>
    <row r="165" spans="1:5" x14ac:dyDescent="0.25">
      <c r="A165" s="30" t="s">
        <v>349</v>
      </c>
    </row>
    <row r="166" spans="1:5" x14ac:dyDescent="0.25">
      <c r="A166" t="s">
        <v>351</v>
      </c>
      <c r="B166" s="3">
        <f>'Design Converter'!H50</f>
        <v>5.8</v>
      </c>
      <c r="C166" t="s">
        <v>10</v>
      </c>
      <c r="E166" t="s">
        <v>353</v>
      </c>
    </row>
    <row r="167" spans="1:5" x14ac:dyDescent="0.25">
      <c r="A167" t="s">
        <v>352</v>
      </c>
      <c r="B167" s="3">
        <f>'Design Converter'!H51</f>
        <v>5.4</v>
      </c>
      <c r="C167" t="s">
        <v>10</v>
      </c>
      <c r="E167" t="s">
        <v>354</v>
      </c>
    </row>
    <row r="168" spans="1:5" x14ac:dyDescent="0.25">
      <c r="A168" t="s">
        <v>356</v>
      </c>
      <c r="B168" s="12">
        <f>UV_rise</f>
        <v>1.5</v>
      </c>
      <c r="C168" t="s">
        <v>10</v>
      </c>
      <c r="E168" t="s">
        <v>361</v>
      </c>
    </row>
    <row r="169" spans="1:5" x14ac:dyDescent="0.25">
      <c r="A169" t="s">
        <v>357</v>
      </c>
      <c r="B169" s="12">
        <f>UV_fall</f>
        <v>1.45</v>
      </c>
      <c r="C169" t="s">
        <v>10</v>
      </c>
      <c r="E169" t="s">
        <v>360</v>
      </c>
    </row>
    <row r="170" spans="1:5" x14ac:dyDescent="0.25">
      <c r="A170" t="s">
        <v>362</v>
      </c>
      <c r="B170" s="12">
        <f>UV_I_hyst</f>
        <v>4.9999999999999996E-6</v>
      </c>
      <c r="C170" t="s">
        <v>11</v>
      </c>
      <c r="E170" t="s">
        <v>364</v>
      </c>
    </row>
    <row r="171" spans="1:5" x14ac:dyDescent="0.25">
      <c r="A171" t="s">
        <v>365</v>
      </c>
      <c r="B171" s="18">
        <f>((Vuvlo_on*0.967)-Vuvlo_off)/(UV_I_hyst)</f>
        <v>41719.999999999942</v>
      </c>
      <c r="C171" s="2" t="s">
        <v>36</v>
      </c>
      <c r="E171" t="s">
        <v>466</v>
      </c>
    </row>
    <row r="172" spans="1:5" x14ac:dyDescent="0.25">
      <c r="A172" t="s">
        <v>365</v>
      </c>
      <c r="B172" s="3">
        <f>'Design Converter'!H53*1000</f>
        <v>21000</v>
      </c>
      <c r="C172" s="2" t="s">
        <v>36</v>
      </c>
      <c r="E172" t="s">
        <v>467</v>
      </c>
    </row>
    <row r="173" spans="1:5" x14ac:dyDescent="0.25">
      <c r="A173" t="s">
        <v>366</v>
      </c>
      <c r="B173" s="18">
        <f>UV_rise*Ruvlo_top/(Vuvlo_on-UV_rise)</f>
        <v>7325.5813953488378</v>
      </c>
      <c r="C173" s="2" t="s">
        <v>36</v>
      </c>
      <c r="E173" t="s">
        <v>468</v>
      </c>
    </row>
    <row r="174" spans="1:5" x14ac:dyDescent="0.25">
      <c r="A174" t="s">
        <v>367</v>
      </c>
      <c r="B174" s="17">
        <f>UV_rise*(Ruvlo_top+Ruvlo_bottom_calc)/Ruvlo_bottom_calc</f>
        <v>5.8</v>
      </c>
      <c r="E174" t="s">
        <v>369</v>
      </c>
    </row>
    <row r="175" spans="1:5" x14ac:dyDescent="0.25">
      <c r="A175" t="s">
        <v>368</v>
      </c>
      <c r="B175" s="17">
        <f>Ruvlo_top*((UV_fall/Ruvlo_top)-(UV_I_hyst)+(UV_fall/Ruvlo_bottom_calc))</f>
        <v>5.5016666666666669</v>
      </c>
      <c r="E175" t="s">
        <v>370</v>
      </c>
    </row>
    <row r="178" spans="1:5" x14ac:dyDescent="0.25">
      <c r="A178" s="30" t="s">
        <v>204</v>
      </c>
    </row>
    <row r="179" spans="1:5" x14ac:dyDescent="0.25">
      <c r="A179" s="34" t="s">
        <v>232</v>
      </c>
      <c r="B179" s="3" t="str">
        <f>'Design Converter'!H57</f>
        <v>24V</v>
      </c>
      <c r="C179" t="s">
        <v>10</v>
      </c>
      <c r="E179" t="s">
        <v>276</v>
      </c>
    </row>
    <row r="180" spans="1:5" x14ac:dyDescent="0.25">
      <c r="A180" s="34"/>
    </row>
    <row r="181" spans="1:5" x14ac:dyDescent="0.25">
      <c r="A181" s="33" t="s">
        <v>291</v>
      </c>
    </row>
    <row r="182" spans="1:5" x14ac:dyDescent="0.25">
      <c r="A182" t="s">
        <v>224</v>
      </c>
      <c r="B182" s="3">
        <f>'Design Converter'!H60*(10^3)</f>
        <v>71500</v>
      </c>
      <c r="C182" s="2" t="s">
        <v>36</v>
      </c>
      <c r="E182" t="s">
        <v>277</v>
      </c>
    </row>
    <row r="183" spans="1:5" x14ac:dyDescent="0.25">
      <c r="A183" t="s">
        <v>281</v>
      </c>
      <c r="B183" s="18">
        <f>(RFBT*Vref)/(VOUT-Vref)</f>
        <v>2465.5172413793102</v>
      </c>
      <c r="C183" s="2" t="s">
        <v>36</v>
      </c>
      <c r="E183" t="s">
        <v>284</v>
      </c>
    </row>
    <row r="184" spans="1:5" x14ac:dyDescent="0.25">
      <c r="A184" t="s">
        <v>225</v>
      </c>
      <c r="B184" s="3">
        <f>'Design Converter'!H62*(10^3)</f>
        <v>2490</v>
      </c>
      <c r="C184" s="2" t="s">
        <v>36</v>
      </c>
      <c r="E184" t="s">
        <v>285</v>
      </c>
    </row>
    <row r="185" spans="1:5" x14ac:dyDescent="0.25">
      <c r="A185" t="s">
        <v>286</v>
      </c>
      <c r="B185" s="1">
        <f>VOUT/(RFBB+RFBT)</f>
        <v>4.0546019732396268E-4</v>
      </c>
      <c r="C185" s="2" t="s">
        <v>11</v>
      </c>
      <c r="E185" t="s">
        <v>287</v>
      </c>
    </row>
    <row r="186" spans="1:5" x14ac:dyDescent="0.25">
      <c r="C186" s="2"/>
    </row>
    <row r="187" spans="1:5" x14ac:dyDescent="0.25">
      <c r="A187" s="33" t="s">
        <v>292</v>
      </c>
      <c r="E187" t="s">
        <v>457</v>
      </c>
    </row>
    <row r="189" spans="1:5" x14ac:dyDescent="0.25">
      <c r="A189" t="s">
        <v>470</v>
      </c>
      <c r="B189">
        <f>(Gcomp*(VIN_min/VOUT)*(VOUT/IOUT))/(2*R_cs*Acs)</f>
        <v>28.999999999999996</v>
      </c>
    </row>
    <row r="191" spans="1:5" x14ac:dyDescent="0.25">
      <c r="A191" t="s">
        <v>471</v>
      </c>
      <c r="B191" s="12">
        <f>2/(Cout*(VOUT/IOUT))</f>
        <v>133.33333333333334</v>
      </c>
      <c r="C191" t="s">
        <v>454</v>
      </c>
      <c r="E191" t="s">
        <v>453</v>
      </c>
    </row>
    <row r="192" spans="1:5" x14ac:dyDescent="0.25">
      <c r="A192" t="s">
        <v>472</v>
      </c>
      <c r="B192" s="1">
        <f>B191/(2*PI())</f>
        <v>21.220659078919379</v>
      </c>
      <c r="C192" t="s">
        <v>69</v>
      </c>
      <c r="E192" t="s">
        <v>288</v>
      </c>
    </row>
    <row r="194" spans="1:5" x14ac:dyDescent="0.25">
      <c r="A194" t="s">
        <v>473</v>
      </c>
      <c r="B194" s="12">
        <f>1/(Cout*Resr)</f>
        <v>199999.99999999997</v>
      </c>
      <c r="C194" t="s">
        <v>455</v>
      </c>
      <c r="E194" t="s">
        <v>456</v>
      </c>
    </row>
    <row r="195" spans="1:5" x14ac:dyDescent="0.25">
      <c r="A195" t="s">
        <v>474</v>
      </c>
      <c r="B195" s="1">
        <f>B194/(2*PI())</f>
        <v>31830.988618379062</v>
      </c>
      <c r="C195" t="s">
        <v>69</v>
      </c>
      <c r="E195" t="s">
        <v>290</v>
      </c>
    </row>
    <row r="197" spans="1:5" x14ac:dyDescent="0.25">
      <c r="A197" t="s">
        <v>475</v>
      </c>
      <c r="B197" s="12">
        <f>((VOUT/IOUT)*((VIN_min/VOUT)^2))/(Lm)</f>
        <v>156862.74509803922</v>
      </c>
      <c r="E197" t="s">
        <v>452</v>
      </c>
    </row>
    <row r="198" spans="1:5" x14ac:dyDescent="0.25">
      <c r="A198" t="s">
        <v>476</v>
      </c>
      <c r="B198" s="18">
        <f>B197/(2*PI())</f>
        <v>24965.481269316915</v>
      </c>
      <c r="C198" t="s">
        <v>69</v>
      </c>
      <c r="E198" t="s">
        <v>289</v>
      </c>
    </row>
    <row r="199" spans="1:5" x14ac:dyDescent="0.25">
      <c r="B199">
        <f>Fsw/10</f>
        <v>75000</v>
      </c>
      <c r="C199" t="s">
        <v>69</v>
      </c>
      <c r="E199" t="s">
        <v>297</v>
      </c>
    </row>
    <row r="200" spans="1:5" x14ac:dyDescent="0.25">
      <c r="B200">
        <f>IF((B198/5)&lt;(B199),0,1)</f>
        <v>0</v>
      </c>
      <c r="E200" t="s">
        <v>299</v>
      </c>
    </row>
    <row r="202" spans="1:5" x14ac:dyDescent="0.25">
      <c r="A202" t="s">
        <v>477</v>
      </c>
      <c r="B202" s="1">
        <f>(Isl*(Rsl_int+R_sl)*Fsw)</f>
        <v>35999.999999999993</v>
      </c>
      <c r="C202" t="s">
        <v>180</v>
      </c>
      <c r="E202" t="s">
        <v>248</v>
      </c>
    </row>
    <row r="203" spans="1:5" x14ac:dyDescent="0.25">
      <c r="A203" t="s">
        <v>478</v>
      </c>
      <c r="B203" s="1">
        <f>(R_cs*VIN_min*Acs)/Lm</f>
        <v>11764.705882352942</v>
      </c>
      <c r="C203" t="s">
        <v>180</v>
      </c>
      <c r="E203" t="s">
        <v>249</v>
      </c>
    </row>
    <row r="204" spans="1:5" x14ac:dyDescent="0.25">
      <c r="B204" s="1"/>
    </row>
    <row r="205" spans="1:5" x14ac:dyDescent="0.25">
      <c r="A205" t="s">
        <v>479</v>
      </c>
      <c r="B205" s="1">
        <f>2*PI()*Fsw</f>
        <v>4712388.9803846898</v>
      </c>
      <c r="C205" t="s">
        <v>251</v>
      </c>
    </row>
    <row r="206" spans="1:5" x14ac:dyDescent="0.25">
      <c r="A206" t="s">
        <v>480</v>
      </c>
      <c r="B206" s="1">
        <f>1/(PI()*(((VIN_min/VOUT)*(1+(B202/B203)))-0.5))</f>
        <v>0.54629843166554515</v>
      </c>
    </row>
    <row r="212" spans="1:5" x14ac:dyDescent="0.25">
      <c r="A212" t="s">
        <v>293</v>
      </c>
      <c r="B212" s="17">
        <f>IF(B200=0,fz_rhp/5,Fsw/10)</f>
        <v>4993.096253863383</v>
      </c>
      <c r="C212" t="s">
        <v>69</v>
      </c>
      <c r="E212" t="s">
        <v>298</v>
      </c>
    </row>
    <row r="213" spans="1:5" x14ac:dyDescent="0.25">
      <c r="A213" t="s">
        <v>295</v>
      </c>
      <c r="B213" s="3">
        <f>'Design Converter'!H66*1000</f>
        <v>100000</v>
      </c>
      <c r="C213" t="s">
        <v>69</v>
      </c>
      <c r="E213" t="s">
        <v>296</v>
      </c>
    </row>
    <row r="215" spans="1:5" x14ac:dyDescent="0.25">
      <c r="A215" t="s">
        <v>304</v>
      </c>
      <c r="B215" s="20">
        <f>Gplant_fc_dB</f>
        <v>-23.936797120729185</v>
      </c>
      <c r="C215" t="s">
        <v>275</v>
      </c>
      <c r="E215" t="s">
        <v>305</v>
      </c>
    </row>
    <row r="216" spans="1:5" x14ac:dyDescent="0.25">
      <c r="A216" t="s">
        <v>300</v>
      </c>
      <c r="B216" s="20">
        <f>10^(B215/20)</f>
        <v>6.3556525022098423E-2</v>
      </c>
      <c r="C216" t="s">
        <v>180</v>
      </c>
      <c r="E216" t="s">
        <v>301</v>
      </c>
    </row>
    <row r="217" spans="1:5" x14ac:dyDescent="0.25">
      <c r="A217" t="s">
        <v>306</v>
      </c>
      <c r="B217" s="20">
        <f>1/B216</f>
        <v>15.734025729888518</v>
      </c>
      <c r="C217" t="s">
        <v>180</v>
      </c>
      <c r="E217" t="s">
        <v>307</v>
      </c>
    </row>
    <row r="219" spans="1:5" x14ac:dyDescent="0.25">
      <c r="A219" t="s">
        <v>313</v>
      </c>
      <c r="B219">
        <f>fcross/10</f>
        <v>10000</v>
      </c>
      <c r="C219" t="s">
        <v>69</v>
      </c>
      <c r="E219" t="s">
        <v>311</v>
      </c>
    </row>
    <row r="220" spans="1:5" x14ac:dyDescent="0.25">
      <c r="A220" t="s">
        <v>314</v>
      </c>
      <c r="B220" s="35">
        <f>SQRT(B192*fcross)</f>
        <v>1456.7312407894387</v>
      </c>
      <c r="C220" t="s">
        <v>69</v>
      </c>
      <c r="E220" t="s">
        <v>312</v>
      </c>
    </row>
    <row r="221" spans="1:5" x14ac:dyDescent="0.25">
      <c r="A221" t="s">
        <v>310</v>
      </c>
      <c r="B221" s="35">
        <f>B220</f>
        <v>1456.7312407894387</v>
      </c>
      <c r="C221" t="s">
        <v>69</v>
      </c>
    </row>
    <row r="223" spans="1:5" x14ac:dyDescent="0.25">
      <c r="A223" t="s">
        <v>317</v>
      </c>
      <c r="B223" s="32">
        <f>fz_rhp</f>
        <v>24965.481269316915</v>
      </c>
      <c r="C223" t="s">
        <v>69</v>
      </c>
      <c r="E223" t="s">
        <v>490</v>
      </c>
    </row>
    <row r="224" spans="1:5" x14ac:dyDescent="0.25">
      <c r="E224" t="s">
        <v>491</v>
      </c>
    </row>
    <row r="227" spans="1:5" x14ac:dyDescent="0.25">
      <c r="A227" t="s">
        <v>308</v>
      </c>
      <c r="B227" s="23">
        <f>(Gea_mid_calc*(RFBT+RFBB)/(RFBB*gm_ea))</f>
        <v>233767.18147679747</v>
      </c>
      <c r="C227" s="2" t="s">
        <v>36</v>
      </c>
      <c r="E227" t="s">
        <v>309</v>
      </c>
    </row>
    <row r="228" spans="1:5" x14ac:dyDescent="0.25">
      <c r="A228" t="s">
        <v>214</v>
      </c>
      <c r="B228" s="3">
        <f>'Design Converter'!H69*1000</f>
        <v>150000</v>
      </c>
      <c r="C228" s="2" t="s">
        <v>36</v>
      </c>
      <c r="E228" t="s">
        <v>221</v>
      </c>
    </row>
    <row r="229" spans="1:5" x14ac:dyDescent="0.25">
      <c r="A229" t="s">
        <v>315</v>
      </c>
      <c r="B229" s="36">
        <f>1/(2*PI()*fz_ea_est*Rcomp_calc)</f>
        <v>4.6736604500684365E-10</v>
      </c>
      <c r="C229" s="2" t="s">
        <v>193</v>
      </c>
    </row>
    <row r="230" spans="1:5" x14ac:dyDescent="0.25">
      <c r="A230" t="s">
        <v>219</v>
      </c>
      <c r="B230" s="3">
        <f>'Design Converter'!H70*(10^-9)</f>
        <v>1E-8</v>
      </c>
      <c r="C230" t="s">
        <v>193</v>
      </c>
      <c r="E230" t="s">
        <v>222</v>
      </c>
    </row>
    <row r="231" spans="1:5" x14ac:dyDescent="0.25">
      <c r="A231" t="s">
        <v>316</v>
      </c>
      <c r="B231" s="36">
        <f>(CComp_calc)/((CComp_calc*Rcomp_calc*2*PI()*fp_ea_est)-1)</f>
        <v>2.8960566504790778E-11</v>
      </c>
      <c r="C231" t="s">
        <v>193</v>
      </c>
    </row>
    <row r="232" spans="1:5" x14ac:dyDescent="0.25">
      <c r="A232" t="s">
        <v>220</v>
      </c>
      <c r="B232" s="3">
        <f>'Design Converter'!H71*(10^-12)</f>
        <v>6.7999999999999998E-11</v>
      </c>
      <c r="C232" t="s">
        <v>193</v>
      </c>
      <c r="E232" t="s">
        <v>223</v>
      </c>
    </row>
    <row r="235" spans="1:5" x14ac:dyDescent="0.25">
      <c r="A235" s="30" t="s">
        <v>379</v>
      </c>
    </row>
    <row r="236" spans="1:5" x14ac:dyDescent="0.25">
      <c r="A236" s="30" t="s">
        <v>398</v>
      </c>
    </row>
    <row r="237" spans="1:5" x14ac:dyDescent="0.25">
      <c r="A237" s="52" t="s">
        <v>461</v>
      </c>
      <c r="E237" t="s">
        <v>462</v>
      </c>
    </row>
    <row r="238" spans="1:5" x14ac:dyDescent="0.25">
      <c r="A238" t="s">
        <v>380</v>
      </c>
      <c r="B238">
        <f>'Design Converter'!H86/1000</f>
        <v>0.57999999999999996</v>
      </c>
      <c r="C238" t="s">
        <v>10</v>
      </c>
      <c r="E238" t="s">
        <v>381</v>
      </c>
    </row>
    <row r="239" spans="1:5" x14ac:dyDescent="0.25">
      <c r="A239" t="s">
        <v>411</v>
      </c>
      <c r="B239">
        <f>'Design Converter'!H87*(10^-9)</f>
        <v>1E-8</v>
      </c>
      <c r="C239" t="s">
        <v>409</v>
      </c>
      <c r="E239" t="s">
        <v>410</v>
      </c>
    </row>
    <row r="242" spans="1:8" x14ac:dyDescent="0.25">
      <c r="A242" s="30" t="s">
        <v>401</v>
      </c>
    </row>
    <row r="243" spans="1:8" ht="15.75" x14ac:dyDescent="0.3">
      <c r="A243" t="s">
        <v>412</v>
      </c>
      <c r="B243" s="3">
        <f>'Design Converter'!H76*(10^-3)</f>
        <v>4.5999999999999999E-3</v>
      </c>
      <c r="C243" s="2" t="s">
        <v>36</v>
      </c>
      <c r="E243" s="44" t="s">
        <v>387</v>
      </c>
    </row>
    <row r="244" spans="1:8" ht="15.75" x14ac:dyDescent="0.3">
      <c r="A244" t="s">
        <v>402</v>
      </c>
      <c r="B244" s="3">
        <f>'Design Converter'!H77*(10^-9)</f>
        <v>3.9400000000000002E-8</v>
      </c>
      <c r="C244" t="s">
        <v>193</v>
      </c>
      <c r="E244" s="44" t="s">
        <v>388</v>
      </c>
    </row>
    <row r="245" spans="1:8" ht="15.75" x14ac:dyDescent="0.3">
      <c r="A245" t="s">
        <v>404</v>
      </c>
      <c r="B245" s="3">
        <f>'Design Converter'!H78*(10^-9)</f>
        <v>1.11E-8</v>
      </c>
      <c r="C245" t="s">
        <v>193</v>
      </c>
      <c r="E245" s="44" t="s">
        <v>389</v>
      </c>
    </row>
    <row r="246" spans="1:8" ht="15.75" x14ac:dyDescent="0.3">
      <c r="A246" t="s">
        <v>403</v>
      </c>
      <c r="B246" s="3">
        <f>'Design Converter'!H79*(10^-9)</f>
        <v>1.2300000000000001E-8</v>
      </c>
      <c r="C246" t="s">
        <v>193</v>
      </c>
      <c r="E246" s="44" t="s">
        <v>390</v>
      </c>
    </row>
    <row r="247" spans="1:8" ht="15.75" x14ac:dyDescent="0.3">
      <c r="A247" t="s">
        <v>405</v>
      </c>
      <c r="B247" s="3">
        <f>'Design Converter'!H80</f>
        <v>1.5</v>
      </c>
      <c r="C247" s="2" t="s">
        <v>36</v>
      </c>
      <c r="E247" s="44" t="s">
        <v>391</v>
      </c>
    </row>
    <row r="248" spans="1:8" x14ac:dyDescent="0.25">
      <c r="A248" t="s">
        <v>413</v>
      </c>
      <c r="B248" s="12">
        <v>1.5</v>
      </c>
      <c r="C248" s="2"/>
      <c r="E248" s="44" t="s">
        <v>414</v>
      </c>
      <c r="H248" t="s">
        <v>423</v>
      </c>
    </row>
    <row r="249" spans="1:8" ht="15.75" x14ac:dyDescent="0.3">
      <c r="A249" t="s">
        <v>406</v>
      </c>
      <c r="B249" s="3">
        <f>'Design Converter'!H81</f>
        <v>60</v>
      </c>
      <c r="C249" s="2" t="s">
        <v>397</v>
      </c>
      <c r="E249" s="44" t="s">
        <v>392</v>
      </c>
    </row>
    <row r="250" spans="1:8" ht="15.75" x14ac:dyDescent="0.3">
      <c r="A250" t="s">
        <v>407</v>
      </c>
      <c r="B250" s="3">
        <f>'Design Converter'!H82</f>
        <v>1.7</v>
      </c>
      <c r="C250" s="2" t="s">
        <v>10</v>
      </c>
      <c r="E250" s="44" t="s">
        <v>393</v>
      </c>
    </row>
    <row r="251" spans="1:8" x14ac:dyDescent="0.25">
      <c r="A251" t="s">
        <v>419</v>
      </c>
      <c r="B251" s="12">
        <f>Vcc</f>
        <v>6.75</v>
      </c>
      <c r="C251" s="2" t="s">
        <v>10</v>
      </c>
      <c r="E251" s="44" t="s">
        <v>424</v>
      </c>
    </row>
    <row r="252" spans="1:8" x14ac:dyDescent="0.25">
      <c r="C252" s="2"/>
      <c r="E252" s="44"/>
    </row>
    <row r="253" spans="1:8" x14ac:dyDescent="0.25">
      <c r="C253" s="2"/>
      <c r="E253" s="44"/>
    </row>
    <row r="254" spans="1:8" x14ac:dyDescent="0.25">
      <c r="A254" t="s">
        <v>415</v>
      </c>
      <c r="B254" s="27">
        <f>Vth+(((VOUT*IOUT)/VIN_min)/gfs)</f>
        <v>1.825</v>
      </c>
      <c r="C254" s="2" t="s">
        <v>10</v>
      </c>
      <c r="E254" s="44" t="s">
        <v>416</v>
      </c>
    </row>
    <row r="255" spans="1:8" x14ac:dyDescent="0.25">
      <c r="A255" t="s">
        <v>425</v>
      </c>
      <c r="B255" s="1">
        <f>(Qgd+(Qgs/2))*((Rgate+B248)/(Vcc-B254))</f>
        <v>1.0507614213197969E-8</v>
      </c>
      <c r="C255" s="2" t="s">
        <v>54</v>
      </c>
      <c r="E255" s="44" t="s">
        <v>417</v>
      </c>
    </row>
    <row r="256" spans="1:8" ht="15.75" thickBot="1" x14ac:dyDescent="0.3">
      <c r="A256" t="s">
        <v>426</v>
      </c>
      <c r="B256" s="1">
        <f>(Qgd+(Qgs/2))*((B248+Rgate)/B254)</f>
        <v>2.8356164383561644E-8</v>
      </c>
      <c r="C256" t="s">
        <v>54</v>
      </c>
      <c r="E256" s="45" t="s">
        <v>418</v>
      </c>
    </row>
  </sheetData>
  <mergeCells count="2">
    <mergeCell ref="A1:J1"/>
    <mergeCell ref="E5:H5"/>
  </mergeCells>
  <pageMargins left="0.7" right="0.7" top="0.75" bottom="0.75" header="0.3" footer="0.3"/>
  <pageSetup orientation="portrait" r:id="rId1"/>
  <drawing r:id="rId2"/>
  <legacyDrawing r:id="rId3"/>
  <oleObjects>
    <mc:AlternateContent xmlns:mc="http://schemas.openxmlformats.org/markup-compatibility/2006">
      <mc:Choice Requires="x14">
        <oleObject progId="Mathcad" shapeId="2053" r:id="rId4">
          <objectPr defaultSize="0" autoPict="0" r:id="rId5">
            <anchor moveWithCells="1">
              <from>
                <xdr:col>8</xdr:col>
                <xdr:colOff>57150</xdr:colOff>
                <xdr:row>154</xdr:row>
                <xdr:rowOff>133350</xdr:rowOff>
              </from>
              <to>
                <xdr:col>12</xdr:col>
                <xdr:colOff>390525</xdr:colOff>
                <xdr:row>157</xdr:row>
                <xdr:rowOff>19050</xdr:rowOff>
              </to>
            </anchor>
          </objectPr>
        </oleObject>
      </mc:Choice>
      <mc:Fallback>
        <oleObject progId="Mathcad" shapeId="2053"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T157"/>
  <sheetViews>
    <sheetView topLeftCell="R1" zoomScale="85" zoomScaleNormal="85" workbookViewId="0">
      <pane ySplit="6" topLeftCell="A135" activePane="bottomLeft" state="frozen"/>
      <selection activeCell="N8" sqref="N8"/>
      <selection pane="bottomLeft" activeCell="N8" sqref="N8"/>
    </sheetView>
  </sheetViews>
  <sheetFormatPr defaultRowHeight="15" x14ac:dyDescent="0.25"/>
  <cols>
    <col min="10" max="10" width="10" bestFit="1" customWidth="1"/>
    <col min="18" max="18" width="8.85546875"/>
    <col min="21" max="21" width="8.85546875"/>
    <col min="24" max="24" width="8.85546875"/>
    <col min="25" max="25" width="12" bestFit="1" customWidth="1"/>
    <col min="28" max="28" width="8.85546875"/>
    <col min="30" max="30" width="8.85546875"/>
    <col min="35" max="35" width="8.85546875"/>
    <col min="39" max="39" width="11" bestFit="1" customWidth="1"/>
    <col min="42" max="43" width="8.85546875"/>
  </cols>
  <sheetData>
    <row r="1" spans="1:46" ht="27.75" x14ac:dyDescent="0.4">
      <c r="A1" s="229" t="s">
        <v>15</v>
      </c>
      <c r="B1" s="229"/>
      <c r="C1" s="229"/>
      <c r="D1" s="229"/>
      <c r="E1" s="229"/>
      <c r="F1" s="229"/>
      <c r="G1" s="229"/>
      <c r="H1" s="229"/>
      <c r="I1" s="229"/>
      <c r="J1" s="229"/>
      <c r="K1" s="229"/>
      <c r="L1" s="229"/>
      <c r="M1" s="229"/>
    </row>
    <row r="4" spans="1:46" ht="15.75" thickBot="1" x14ac:dyDescent="0.3">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row>
    <row r="5" spans="1:46" ht="30" x14ac:dyDescent="0.25">
      <c r="R5" s="234" t="s">
        <v>372</v>
      </c>
      <c r="S5" s="235"/>
      <c r="T5" s="235"/>
      <c r="U5" s="236"/>
      <c r="V5" s="234" t="s">
        <v>373</v>
      </c>
      <c r="W5" s="235"/>
      <c r="X5" s="236"/>
      <c r="Y5" s="234" t="s">
        <v>446</v>
      </c>
      <c r="Z5" s="235"/>
      <c r="AA5" s="235"/>
      <c r="AB5" s="235"/>
      <c r="AC5" s="235"/>
      <c r="AD5" s="236"/>
      <c r="AE5" s="234" t="s">
        <v>445</v>
      </c>
      <c r="AF5" s="235"/>
      <c r="AG5" s="235"/>
      <c r="AH5" s="235"/>
      <c r="AI5" s="236"/>
      <c r="AJ5" s="234" t="s">
        <v>447</v>
      </c>
      <c r="AK5" s="235"/>
      <c r="AL5" s="235"/>
      <c r="AM5" s="235"/>
      <c r="AN5" s="236"/>
      <c r="AO5" s="231" t="s">
        <v>442</v>
      </c>
      <c r="AP5" s="232"/>
      <c r="AQ5" s="233"/>
      <c r="AR5" s="49" t="s">
        <v>435</v>
      </c>
      <c r="AS5" s="50"/>
      <c r="AT5" s="51"/>
    </row>
    <row r="6" spans="1:46" ht="18" x14ac:dyDescent="0.35">
      <c r="R6" s="39" t="s">
        <v>31</v>
      </c>
      <c r="S6" s="37" t="s">
        <v>33</v>
      </c>
      <c r="T6" s="37" t="s">
        <v>327</v>
      </c>
      <c r="U6" s="40" t="s">
        <v>330</v>
      </c>
      <c r="V6" s="39" t="s">
        <v>328</v>
      </c>
      <c r="W6" s="37" t="s">
        <v>329</v>
      </c>
      <c r="X6" s="40" t="s">
        <v>377</v>
      </c>
      <c r="Y6" s="39" t="s">
        <v>374</v>
      </c>
      <c r="Z6" s="37" t="s">
        <v>376</v>
      </c>
      <c r="AA6" s="37" t="s">
        <v>375</v>
      </c>
      <c r="AB6" s="46" t="s">
        <v>383</v>
      </c>
      <c r="AC6" s="46" t="s">
        <v>384</v>
      </c>
      <c r="AD6" s="48" t="s">
        <v>433</v>
      </c>
      <c r="AE6" s="39" t="s">
        <v>427</v>
      </c>
      <c r="AF6" s="37" t="s">
        <v>428</v>
      </c>
      <c r="AG6" s="46" t="s">
        <v>430</v>
      </c>
      <c r="AH6" s="46" t="s">
        <v>429</v>
      </c>
      <c r="AI6" s="48" t="s">
        <v>431</v>
      </c>
      <c r="AJ6" s="39" t="s">
        <v>382</v>
      </c>
      <c r="AK6" s="37" t="s">
        <v>378</v>
      </c>
      <c r="AL6" s="37" t="s">
        <v>385</v>
      </c>
      <c r="AM6" s="37" t="s">
        <v>386</v>
      </c>
      <c r="AN6" s="40" t="s">
        <v>432</v>
      </c>
      <c r="AO6" s="39" t="s">
        <v>434</v>
      </c>
      <c r="AP6" s="37" t="s">
        <v>437</v>
      </c>
      <c r="AQ6" s="40" t="s">
        <v>438</v>
      </c>
      <c r="AR6" s="39" t="s">
        <v>436</v>
      </c>
      <c r="AS6" s="37" t="s">
        <v>444</v>
      </c>
      <c r="AT6" s="40" t="s">
        <v>443</v>
      </c>
    </row>
    <row r="7" spans="1:46" x14ac:dyDescent="0.25">
      <c r="Q7">
        <v>0</v>
      </c>
      <c r="R7" s="39">
        <f t="shared" ref="R7:R70" si="0">VOUT</f>
        <v>30</v>
      </c>
      <c r="S7" s="37">
        <f t="shared" ref="S7:S38" si="1">Q7*$O$12</f>
        <v>0</v>
      </c>
      <c r="T7" s="37">
        <f t="shared" ref="T7:T70" si="2">VIN_var</f>
        <v>24</v>
      </c>
      <c r="U7" s="40">
        <f t="shared" ref="U7:U38" si="3">(R7*S7)/(T7*EFF_est)</f>
        <v>0</v>
      </c>
      <c r="V7" s="39">
        <f t="shared" ref="V7:V38" si="4">IF((S7*R7/T7)&lt;((T7*(1-(T7/R7)))/(2*Lm*Fsw)),1,2)</f>
        <v>1</v>
      </c>
      <c r="W7" s="37">
        <f t="shared" ref="W7:W38" si="5">CHOOSE(V7,SQRT((2*S7*Lm*Fsw*(R7-T7))/((T7)^2)),1-(T7/R7))</f>
        <v>0</v>
      </c>
      <c r="X7" s="40">
        <f t="shared" ref="X7:X38" si="6">CHOOSE(V7,(Lm*W7*Fsw)/(R7-T7),1-W7)</f>
        <v>0</v>
      </c>
      <c r="Y7" s="39">
        <f t="shared" ref="Y7:Y38" si="7">(T7*W7)/(Lm*Fsw)</f>
        <v>0</v>
      </c>
      <c r="Z7" s="37">
        <f>CHOOSE(V7,Y7,U7+(0.5*Y7))</f>
        <v>0</v>
      </c>
      <c r="AA7" s="37">
        <f>CHOOSE(V7,Z7*SQRT((W7+X7)/3),SQRT((U7^2)+((Y7^2)/12)))</f>
        <v>0</v>
      </c>
      <c r="AB7" s="37">
        <v>0</v>
      </c>
      <c r="AC7" s="37">
        <f t="shared" ref="AC7:AC38" si="8">(AA7^2)*Rdcr</f>
        <v>0</v>
      </c>
      <c r="AD7" s="40">
        <f>AB7+AC7</f>
        <v>0</v>
      </c>
      <c r="AE7" s="39">
        <f>U7*W7</f>
        <v>0</v>
      </c>
      <c r="AF7" s="37">
        <f>CHOOSE(V7,Z7*SQRT(W7/3),SQRT(W7*((Z7^2)+((Y7^2)/3)-(Z7*Y7))))</f>
        <v>0</v>
      </c>
      <c r="AG7" s="37">
        <f t="shared" ref="AG7:AG38" si="9">(AF7^2)*RDS_on</f>
        <v>0</v>
      </c>
      <c r="AH7" s="37">
        <f t="shared" ref="AH7:AH38" si="10">((R7*U7)/2)*Fsw*(tr_sw+tf_sw)</f>
        <v>0</v>
      </c>
      <c r="AI7" s="40">
        <f>AG7+AH7</f>
        <v>0</v>
      </c>
      <c r="AJ7" s="39">
        <f>X7*U7</f>
        <v>0</v>
      </c>
      <c r="AK7" s="37">
        <f t="shared" ref="AK7:AK38" si="11">CHOOSE(V7,Z7*SQRT(X7/3),SQRT(X7*((Z7^2)+((Y7^2)/3)-(Y7*Z7))))</f>
        <v>0</v>
      </c>
      <c r="AL7" s="37">
        <f t="shared" ref="AL7:AL38" si="12">S7*Vd_rect</f>
        <v>0</v>
      </c>
      <c r="AM7" s="37">
        <f t="shared" ref="AM7:AM38" si="13">CHOOSE(V7,(R7+Vd_rect)*Qrr*Fsw,(R7+Vd_rect)*Qrr*Fsw)</f>
        <v>0.22935</v>
      </c>
      <c r="AN7" s="40">
        <f>AL7+AM7</f>
        <v>0.22935</v>
      </c>
      <c r="AO7" s="39">
        <f t="shared" ref="AO7:AO38" si="14">(AF7^2)*R_cs</f>
        <v>0</v>
      </c>
      <c r="AP7" s="37">
        <f t="shared" ref="AP7:AP38" si="15">Qg_tot*Vcc*Fsw</f>
        <v>0.19946250000000001</v>
      </c>
      <c r="AQ7" s="40">
        <f t="shared" ref="AQ7:AQ38" si="16">IQ*T7</f>
        <v>1.0800000000000001E-2</v>
      </c>
      <c r="AR7" s="39">
        <f>AO7+AN7+AI7+AD7+AP7+AQ7</f>
        <v>0.43961250000000002</v>
      </c>
      <c r="AS7" s="37">
        <f>R7*S7</f>
        <v>0</v>
      </c>
      <c r="AT7" s="40">
        <f>(AS7/(AS7+AR7))*100</f>
        <v>0</v>
      </c>
    </row>
    <row r="8" spans="1:46" x14ac:dyDescent="0.25">
      <c r="M8">
        <f>Fsw</f>
        <v>750000</v>
      </c>
      <c r="Q8">
        <v>1</v>
      </c>
      <c r="R8" s="39">
        <f t="shared" si="0"/>
        <v>30</v>
      </c>
      <c r="S8" s="37">
        <f t="shared" si="1"/>
        <v>1.3333333333333334E-2</v>
      </c>
      <c r="T8" s="37">
        <f t="shared" si="2"/>
        <v>24</v>
      </c>
      <c r="U8" s="40">
        <f t="shared" si="3"/>
        <v>1.8518518518518517E-2</v>
      </c>
      <c r="V8" s="39">
        <f t="shared" si="4"/>
        <v>1</v>
      </c>
      <c r="W8" s="37">
        <f t="shared" si="5"/>
        <v>3.7638632635454049E-2</v>
      </c>
      <c r="X8" s="40">
        <f t="shared" si="6"/>
        <v>3.1992837740135942E-2</v>
      </c>
      <c r="Y8" s="39">
        <f t="shared" si="7"/>
        <v>0.17712297710801905</v>
      </c>
      <c r="Z8" s="37">
        <f t="shared" ref="Z8:Z15" si="17">CHOOSE(V8,Y8,U8+(0.5*Y8))</f>
        <v>0.17712297710801905</v>
      </c>
      <c r="AA8" s="37">
        <f t="shared" ref="AA8:AA15" si="18">CHOOSE(V8,Z8*SQRT((W8+X8)/3),SQRT((U8^2)+((Y8^2)/12)))</f>
        <v>2.6984666742834826E-2</v>
      </c>
      <c r="AB8" s="37">
        <v>0</v>
      </c>
      <c r="AC8" s="37">
        <f t="shared" si="8"/>
        <v>1.4563444784437118E-5</v>
      </c>
      <c r="AD8" s="40">
        <f t="shared" ref="AD8:AD71" si="19">AB8+AC8</f>
        <v>1.4563444784437118E-5</v>
      </c>
      <c r="AE8" s="39">
        <f>U8*W8</f>
        <v>6.9701171547137126E-4</v>
      </c>
      <c r="AF8" s="37">
        <f t="shared" ref="AF8:AF71" si="20">CHOOSE(V8,Z8*SQRT(W8/3),SQRT(W8*((Z8^2)+((Y8^2)/3)-(Z8*Y8))))</f>
        <v>1.9839521561660651E-2</v>
      </c>
      <c r="AG8" s="37">
        <f t="shared" si="9"/>
        <v>1.81059043265975E-6</v>
      </c>
      <c r="AH8" s="37">
        <f t="shared" si="10"/>
        <v>8.0966205409915854E-3</v>
      </c>
      <c r="AI8" s="40">
        <f t="shared" ref="AI8:AI71" si="21">AG8+AH8</f>
        <v>8.0984311314242444E-3</v>
      </c>
      <c r="AJ8" s="39">
        <f t="shared" ref="AJ8:AJ71" si="22">X8*U8</f>
        <v>5.9245995815066551E-4</v>
      </c>
      <c r="AK8" s="37">
        <f t="shared" si="11"/>
        <v>1.8291135104915118E-2</v>
      </c>
      <c r="AL8" s="37">
        <f t="shared" si="12"/>
        <v>7.7333333333333334E-3</v>
      </c>
      <c r="AM8" s="37">
        <f t="shared" si="13"/>
        <v>0.22935</v>
      </c>
      <c r="AN8" s="40">
        <f t="shared" ref="AN8:AN71" si="23">AL8+AM8</f>
        <v>0.23708333333333334</v>
      </c>
      <c r="AO8" s="39">
        <f t="shared" si="14"/>
        <v>3.9360661579559786E-6</v>
      </c>
      <c r="AP8" s="37">
        <f t="shared" si="15"/>
        <v>0.19946250000000001</v>
      </c>
      <c r="AQ8" s="40">
        <f t="shared" si="16"/>
        <v>1.0800000000000001E-2</v>
      </c>
      <c r="AR8" s="39">
        <f t="shared" ref="AR8:AR71" si="24">AO8+AN8+AI8+AD8+AP8+AQ8</f>
        <v>0.45546276397569996</v>
      </c>
      <c r="AS8" s="37">
        <f t="shared" ref="AS8:AS71" si="25">R8*S8</f>
        <v>0.4</v>
      </c>
      <c r="AT8" s="40">
        <f t="shared" ref="AT8:AT71" si="26">(AS8/(AS8+AR8))*100</f>
        <v>46.758318052445624</v>
      </c>
    </row>
    <row r="9" spans="1:46" x14ac:dyDescent="0.25">
      <c r="N9" s="37" t="s">
        <v>233</v>
      </c>
      <c r="O9" s="37">
        <f>VIN_var</f>
        <v>24</v>
      </c>
      <c r="P9" t="s">
        <v>10</v>
      </c>
      <c r="Q9">
        <v>2</v>
      </c>
      <c r="R9" s="39">
        <f t="shared" si="0"/>
        <v>30</v>
      </c>
      <c r="S9" s="37">
        <f t="shared" si="1"/>
        <v>2.6666666666666668E-2</v>
      </c>
      <c r="T9" s="37">
        <f t="shared" si="2"/>
        <v>24</v>
      </c>
      <c r="U9" s="40">
        <f t="shared" si="3"/>
        <v>3.7037037037037035E-2</v>
      </c>
      <c r="V9" s="39">
        <f t="shared" si="4"/>
        <v>1</v>
      </c>
      <c r="W9" s="37">
        <f t="shared" si="5"/>
        <v>5.3229064742237701E-2</v>
      </c>
      <c r="X9" s="40">
        <f t="shared" si="6"/>
        <v>4.5244705030902034E-2</v>
      </c>
      <c r="Y9" s="39">
        <f t="shared" si="7"/>
        <v>0.25048971643405976</v>
      </c>
      <c r="Z9" s="37">
        <f t="shared" si="17"/>
        <v>0.25048971643405976</v>
      </c>
      <c r="AA9" s="37">
        <f t="shared" si="18"/>
        <v>4.5382619061731869E-2</v>
      </c>
      <c r="AB9" s="37">
        <v>0</v>
      </c>
      <c r="AC9" s="37">
        <f t="shared" si="8"/>
        <v>4.1191642258045371E-5</v>
      </c>
      <c r="AD9" s="40">
        <f t="shared" si="19"/>
        <v>4.1191642258045371E-5</v>
      </c>
      <c r="AE9" s="39">
        <f t="shared" ref="AE9:AE72" si="27">U9*W9</f>
        <v>1.9714468423050998E-3</v>
      </c>
      <c r="AF9" s="37">
        <f t="shared" si="20"/>
        <v>3.3365965123098432E-2</v>
      </c>
      <c r="AG9" s="37">
        <f t="shared" si="9"/>
        <v>5.1211230915407763E-6</v>
      </c>
      <c r="AH9" s="37">
        <f t="shared" si="10"/>
        <v>1.6193241081983171E-2</v>
      </c>
      <c r="AI9" s="40">
        <f t="shared" si="21"/>
        <v>1.6198362205074712E-2</v>
      </c>
      <c r="AJ9" s="39">
        <f t="shared" si="22"/>
        <v>1.6757298159593345E-3</v>
      </c>
      <c r="AK9" s="37">
        <f t="shared" si="11"/>
        <v>3.0761899881288992E-2</v>
      </c>
      <c r="AL9" s="37">
        <f t="shared" si="12"/>
        <v>1.5466666666666667E-2</v>
      </c>
      <c r="AM9" s="37">
        <f t="shared" si="13"/>
        <v>0.22935</v>
      </c>
      <c r="AN9" s="40">
        <f t="shared" si="23"/>
        <v>0.24481666666666665</v>
      </c>
      <c r="AO9" s="39">
        <f t="shared" si="14"/>
        <v>1.113287628595821E-5</v>
      </c>
      <c r="AP9" s="37">
        <f t="shared" si="15"/>
        <v>0.19946250000000001</v>
      </c>
      <c r="AQ9" s="40">
        <f t="shared" si="16"/>
        <v>1.0800000000000001E-2</v>
      </c>
      <c r="AR9" s="39">
        <f t="shared" si="24"/>
        <v>0.47132985339028538</v>
      </c>
      <c r="AS9" s="37">
        <f t="shared" si="25"/>
        <v>0.8</v>
      </c>
      <c r="AT9" s="40">
        <f t="shared" si="26"/>
        <v>62.926234121429701</v>
      </c>
    </row>
    <row r="10" spans="1:46" x14ac:dyDescent="0.25">
      <c r="N10" s="37"/>
      <c r="O10" s="37"/>
      <c r="Q10">
        <v>3</v>
      </c>
      <c r="R10" s="39">
        <f t="shared" si="0"/>
        <v>30</v>
      </c>
      <c r="S10" s="37">
        <f t="shared" si="1"/>
        <v>0.04</v>
      </c>
      <c r="T10" s="37">
        <f t="shared" si="2"/>
        <v>24</v>
      </c>
      <c r="U10" s="40">
        <f t="shared" si="3"/>
        <v>5.5555555555555552E-2</v>
      </c>
      <c r="V10" s="39">
        <f t="shared" si="4"/>
        <v>1</v>
      </c>
      <c r="W10" s="37">
        <f t="shared" si="5"/>
        <v>6.5192024052026495E-2</v>
      </c>
      <c r="X10" s="40">
        <f t="shared" si="6"/>
        <v>5.5413220444222512E-2</v>
      </c>
      <c r="Y10" s="39">
        <f t="shared" si="7"/>
        <v>0.3067859955389482</v>
      </c>
      <c r="Z10" s="37">
        <f t="shared" si="17"/>
        <v>0.3067859955389482</v>
      </c>
      <c r="AA10" s="37">
        <f t="shared" si="18"/>
        <v>6.1511738269864898E-2</v>
      </c>
      <c r="AB10" s="37">
        <v>0</v>
      </c>
      <c r="AC10" s="37">
        <f t="shared" si="8"/>
        <v>7.5673878899607232E-5</v>
      </c>
      <c r="AD10" s="40">
        <f t="shared" si="19"/>
        <v>7.5673878899607232E-5</v>
      </c>
      <c r="AE10" s="39">
        <f t="shared" si="27"/>
        <v>3.6217791140014718E-3</v>
      </c>
      <c r="AF10" s="37">
        <f t="shared" si="20"/>
        <v>4.5224329406411932E-2</v>
      </c>
      <c r="AG10" s="37">
        <f t="shared" si="9"/>
        <v>9.4081038631944126E-6</v>
      </c>
      <c r="AH10" s="37">
        <f t="shared" si="10"/>
        <v>2.4289861622974758E-2</v>
      </c>
      <c r="AI10" s="40">
        <f t="shared" si="21"/>
        <v>2.4299269726837953E-2</v>
      </c>
      <c r="AJ10" s="39">
        <f t="shared" si="22"/>
        <v>3.0785122469012506E-3</v>
      </c>
      <c r="AK10" s="37">
        <f t="shared" si="11"/>
        <v>4.1694771551367284E-2</v>
      </c>
      <c r="AL10" s="37">
        <f t="shared" si="12"/>
        <v>2.3199999999999998E-2</v>
      </c>
      <c r="AM10" s="37">
        <f t="shared" si="13"/>
        <v>0.22935</v>
      </c>
      <c r="AN10" s="40">
        <f t="shared" si="23"/>
        <v>0.25255</v>
      </c>
      <c r="AO10" s="39">
        <f t="shared" si="14"/>
        <v>2.0452399702596552E-5</v>
      </c>
      <c r="AP10" s="37">
        <f t="shared" si="15"/>
        <v>0.19946250000000001</v>
      </c>
      <c r="AQ10" s="40">
        <f t="shared" si="16"/>
        <v>1.0800000000000001E-2</v>
      </c>
      <c r="AR10" s="39">
        <f t="shared" si="24"/>
        <v>0.48720789600544018</v>
      </c>
      <c r="AS10" s="37">
        <f t="shared" si="25"/>
        <v>1.2</v>
      </c>
      <c r="AT10" s="40">
        <f t="shared" si="26"/>
        <v>71.123422480481963</v>
      </c>
    </row>
    <row r="11" spans="1:46" x14ac:dyDescent="0.25">
      <c r="N11" s="37" t="s">
        <v>325</v>
      </c>
      <c r="O11" s="37">
        <v>150</v>
      </c>
      <c r="Q11">
        <v>4</v>
      </c>
      <c r="R11" s="39">
        <f t="shared" si="0"/>
        <v>30</v>
      </c>
      <c r="S11" s="37">
        <f t="shared" si="1"/>
        <v>5.3333333333333337E-2</v>
      </c>
      <c r="T11" s="37">
        <f t="shared" si="2"/>
        <v>24</v>
      </c>
      <c r="U11" s="40">
        <f t="shared" si="3"/>
        <v>7.407407407407407E-2</v>
      </c>
      <c r="V11" s="39">
        <f t="shared" si="4"/>
        <v>1</v>
      </c>
      <c r="W11" s="37">
        <f t="shared" si="5"/>
        <v>7.5277265270908097E-2</v>
      </c>
      <c r="X11" s="40">
        <f t="shared" si="6"/>
        <v>6.3985675480271884E-2</v>
      </c>
      <c r="Y11" s="39">
        <f t="shared" si="7"/>
        <v>0.35424595421603811</v>
      </c>
      <c r="Z11" s="37">
        <f t="shared" si="17"/>
        <v>0.35424595421603811</v>
      </c>
      <c r="AA11" s="37">
        <f t="shared" si="18"/>
        <v>7.632416336767045E-2</v>
      </c>
      <c r="AB11" s="37">
        <v>0</v>
      </c>
      <c r="AC11" s="37">
        <f t="shared" si="8"/>
        <v>1.1650755827549696E-4</v>
      </c>
      <c r="AD11" s="40">
        <f t="shared" si="19"/>
        <v>1.1650755827549696E-4</v>
      </c>
      <c r="AE11" s="39">
        <f t="shared" si="27"/>
        <v>5.5760937237709701E-3</v>
      </c>
      <c r="AF11" s="37">
        <f t="shared" si="20"/>
        <v>5.6114640926987876E-2</v>
      </c>
      <c r="AG11" s="37">
        <f t="shared" si="9"/>
        <v>1.4484723461278E-5</v>
      </c>
      <c r="AH11" s="37">
        <f t="shared" si="10"/>
        <v>3.2386482163966342E-2</v>
      </c>
      <c r="AI11" s="40">
        <f t="shared" si="21"/>
        <v>3.2400966887427621E-2</v>
      </c>
      <c r="AJ11" s="39">
        <f t="shared" si="22"/>
        <v>4.7396796652053241E-3</v>
      </c>
      <c r="AK11" s="37">
        <f t="shared" si="11"/>
        <v>5.1735142673139167E-2</v>
      </c>
      <c r="AL11" s="37">
        <f t="shared" si="12"/>
        <v>3.0933333333333334E-2</v>
      </c>
      <c r="AM11" s="37">
        <f t="shared" si="13"/>
        <v>0.22935</v>
      </c>
      <c r="AN11" s="40">
        <f t="shared" si="23"/>
        <v>0.26028333333333331</v>
      </c>
      <c r="AO11" s="39">
        <f t="shared" si="14"/>
        <v>3.1488529263647829E-5</v>
      </c>
      <c r="AP11" s="37">
        <f t="shared" si="15"/>
        <v>0.19946250000000001</v>
      </c>
      <c r="AQ11" s="40">
        <f t="shared" si="16"/>
        <v>1.0800000000000001E-2</v>
      </c>
      <c r="AR11" s="39">
        <f t="shared" si="24"/>
        <v>0.50309479630830012</v>
      </c>
      <c r="AS11" s="37">
        <f t="shared" si="25"/>
        <v>1.6</v>
      </c>
      <c r="AT11" s="40">
        <f t="shared" si="26"/>
        <v>76.078358560374198</v>
      </c>
    </row>
    <row r="12" spans="1:46" x14ac:dyDescent="0.25">
      <c r="N12" s="37" t="s">
        <v>326</v>
      </c>
      <c r="O12" s="37">
        <f>IOUT/(O11)</f>
        <v>1.3333333333333334E-2</v>
      </c>
      <c r="Q12">
        <v>5</v>
      </c>
      <c r="R12" s="39">
        <f t="shared" si="0"/>
        <v>30</v>
      </c>
      <c r="S12" s="37">
        <f t="shared" si="1"/>
        <v>6.6666666666666666E-2</v>
      </c>
      <c r="T12" s="37">
        <f t="shared" si="2"/>
        <v>24</v>
      </c>
      <c r="U12" s="40">
        <f t="shared" si="3"/>
        <v>9.2592592592592587E-2</v>
      </c>
      <c r="V12" s="39">
        <f t="shared" si="4"/>
        <v>1</v>
      </c>
      <c r="W12" s="37">
        <f t="shared" si="5"/>
        <v>8.4162541153017315E-2</v>
      </c>
      <c r="X12" s="40">
        <f t="shared" si="6"/>
        <v>7.15381599800647E-2</v>
      </c>
      <c r="Y12" s="39">
        <f t="shared" si="7"/>
        <v>0.39605901719066977</v>
      </c>
      <c r="Z12" s="37">
        <f t="shared" si="17"/>
        <v>0.39605901719066977</v>
      </c>
      <c r="AA12" s="37">
        <f t="shared" si="18"/>
        <v>9.022867133645239E-2</v>
      </c>
      <c r="AB12" s="37">
        <v>0</v>
      </c>
      <c r="AC12" s="37">
        <f t="shared" si="8"/>
        <v>1.628242626228309E-4</v>
      </c>
      <c r="AD12" s="40">
        <f t="shared" si="19"/>
        <v>1.628242626228309E-4</v>
      </c>
      <c r="AE12" s="39">
        <f t="shared" si="27"/>
        <v>7.7928278845386398E-3</v>
      </c>
      <c r="AF12" s="37">
        <f t="shared" si="20"/>
        <v>6.6337438498656226E-2</v>
      </c>
      <c r="AG12" s="37">
        <f t="shared" si="9"/>
        <v>2.0243016434189786E-5</v>
      </c>
      <c r="AH12" s="37">
        <f t="shared" si="10"/>
        <v>4.0483102704957925E-2</v>
      </c>
      <c r="AI12" s="40">
        <f t="shared" si="21"/>
        <v>4.0503345721392116E-2</v>
      </c>
      <c r="AJ12" s="39">
        <f t="shared" si="22"/>
        <v>6.6239037018578422E-3</v>
      </c>
      <c r="AK12" s="37">
        <f t="shared" si="11"/>
        <v>6.1160096342129384E-2</v>
      </c>
      <c r="AL12" s="37">
        <f t="shared" si="12"/>
        <v>3.8666666666666662E-2</v>
      </c>
      <c r="AM12" s="37">
        <f t="shared" si="13"/>
        <v>0.22935</v>
      </c>
      <c r="AN12" s="40">
        <f t="shared" si="23"/>
        <v>0.26801666666666668</v>
      </c>
      <c r="AO12" s="39">
        <f t="shared" si="14"/>
        <v>4.4006557465629971E-5</v>
      </c>
      <c r="AP12" s="37">
        <f t="shared" si="15"/>
        <v>0.19946250000000001</v>
      </c>
      <c r="AQ12" s="40">
        <f t="shared" si="16"/>
        <v>1.0800000000000001E-2</v>
      </c>
      <c r="AR12" s="39">
        <f t="shared" si="24"/>
        <v>0.51898934320814727</v>
      </c>
      <c r="AS12" s="37">
        <f t="shared" si="25"/>
        <v>2</v>
      </c>
      <c r="AT12" s="40">
        <f t="shared" si="26"/>
        <v>79.396921840599362</v>
      </c>
    </row>
    <row r="13" spans="1:46" x14ac:dyDescent="0.25">
      <c r="Q13">
        <v>6</v>
      </c>
      <c r="R13" s="39">
        <f t="shared" si="0"/>
        <v>30</v>
      </c>
      <c r="S13" s="37">
        <f t="shared" si="1"/>
        <v>0.08</v>
      </c>
      <c r="T13" s="37">
        <f t="shared" si="2"/>
        <v>24</v>
      </c>
      <c r="U13" s="40">
        <f t="shared" si="3"/>
        <v>0.1111111111111111</v>
      </c>
      <c r="V13" s="39">
        <f t="shared" si="4"/>
        <v>1</v>
      </c>
      <c r="W13" s="37">
        <f t="shared" si="5"/>
        <v>9.2195444572928872E-2</v>
      </c>
      <c r="X13" s="40">
        <f t="shared" si="6"/>
        <v>7.8366127886989531E-2</v>
      </c>
      <c r="Y13" s="39">
        <f t="shared" si="7"/>
        <v>0.43386091563731233</v>
      </c>
      <c r="Z13" s="37">
        <f t="shared" si="17"/>
        <v>0.43386091563731233</v>
      </c>
      <c r="AA13" s="37">
        <f t="shared" si="18"/>
        <v>0.10345000041430821</v>
      </c>
      <c r="AB13" s="37">
        <v>0</v>
      </c>
      <c r="AC13" s="37">
        <f t="shared" si="8"/>
        <v>2.1403805171440739E-4</v>
      </c>
      <c r="AD13" s="40">
        <f t="shared" si="19"/>
        <v>2.1403805171440739E-4</v>
      </c>
      <c r="AE13" s="39">
        <f t="shared" si="27"/>
        <v>1.0243938285880985E-2</v>
      </c>
      <c r="AF13" s="37">
        <f t="shared" si="20"/>
        <v>7.6057952960209868E-2</v>
      </c>
      <c r="AG13" s="37">
        <f t="shared" si="9"/>
        <v>2.6610136159088488E-5</v>
      </c>
      <c r="AH13" s="37">
        <f t="shared" si="10"/>
        <v>4.8579723245949516E-2</v>
      </c>
      <c r="AI13" s="40">
        <f t="shared" si="21"/>
        <v>4.8606333382108603E-2</v>
      </c>
      <c r="AJ13" s="39">
        <f t="shared" si="22"/>
        <v>8.7073475429988358E-3</v>
      </c>
      <c r="AK13" s="37">
        <f t="shared" si="11"/>
        <v>7.0121967864734597E-2</v>
      </c>
      <c r="AL13" s="37">
        <f t="shared" si="12"/>
        <v>4.6399999999999997E-2</v>
      </c>
      <c r="AM13" s="37">
        <f t="shared" si="13"/>
        <v>0.22935</v>
      </c>
      <c r="AN13" s="40">
        <f t="shared" si="23"/>
        <v>0.27575</v>
      </c>
      <c r="AO13" s="39">
        <f t="shared" si="14"/>
        <v>5.7848122084974975E-5</v>
      </c>
      <c r="AP13" s="37">
        <f t="shared" si="15"/>
        <v>0.19946250000000001</v>
      </c>
      <c r="AQ13" s="40">
        <f t="shared" si="16"/>
        <v>1.0800000000000001E-2</v>
      </c>
      <c r="AR13" s="39">
        <f t="shared" si="24"/>
        <v>0.53489071955590806</v>
      </c>
      <c r="AS13" s="37">
        <f t="shared" si="25"/>
        <v>2.4</v>
      </c>
      <c r="AT13" s="40">
        <f t="shared" si="26"/>
        <v>81.774765377402375</v>
      </c>
    </row>
    <row r="14" spans="1:46" x14ac:dyDescent="0.25">
      <c r="Q14">
        <v>7</v>
      </c>
      <c r="R14" s="39">
        <f t="shared" si="0"/>
        <v>30</v>
      </c>
      <c r="S14" s="37">
        <f t="shared" si="1"/>
        <v>9.3333333333333338E-2</v>
      </c>
      <c r="T14" s="37">
        <f t="shared" si="2"/>
        <v>24</v>
      </c>
      <c r="U14" s="40">
        <f t="shared" si="3"/>
        <v>0.12962962962962962</v>
      </c>
      <c r="V14" s="39">
        <f t="shared" si="4"/>
        <v>1</v>
      </c>
      <c r="W14" s="37">
        <f t="shared" si="5"/>
        <v>9.9582461641931033E-2</v>
      </c>
      <c r="X14" s="40">
        <f t="shared" si="6"/>
        <v>8.4645092395641372E-2</v>
      </c>
      <c r="Y14" s="39">
        <f t="shared" si="7"/>
        <v>0.46862334890320489</v>
      </c>
      <c r="Z14" s="37">
        <f t="shared" si="17"/>
        <v>0.46862334890320489</v>
      </c>
      <c r="AA14" s="37">
        <f t="shared" si="18"/>
        <v>0.11612897397382985</v>
      </c>
      <c r="AB14" s="37">
        <v>0</v>
      </c>
      <c r="AC14" s="37">
        <f t="shared" si="8"/>
        <v>2.6971877192428904E-4</v>
      </c>
      <c r="AD14" s="40">
        <f t="shared" si="19"/>
        <v>2.6971877192428904E-4</v>
      </c>
      <c r="AE14" s="39">
        <f t="shared" si="27"/>
        <v>1.2908837620250319E-2</v>
      </c>
      <c r="AF14" s="37">
        <f t="shared" si="20"/>
        <v>8.537971971431095E-2</v>
      </c>
      <c r="AG14" s="37">
        <f t="shared" si="9"/>
        <v>3.3532604077073766E-5</v>
      </c>
      <c r="AH14" s="37">
        <f t="shared" si="10"/>
        <v>5.66763437869411E-2</v>
      </c>
      <c r="AI14" s="40">
        <f t="shared" si="21"/>
        <v>5.6709876391018176E-2</v>
      </c>
      <c r="AJ14" s="39">
        <f t="shared" si="22"/>
        <v>1.097251197721277E-2</v>
      </c>
      <c r="AK14" s="37">
        <f t="shared" si="11"/>
        <v>7.8716212165729577E-2</v>
      </c>
      <c r="AL14" s="37">
        <f t="shared" si="12"/>
        <v>5.4133333333333332E-2</v>
      </c>
      <c r="AM14" s="37">
        <f t="shared" si="13"/>
        <v>0.22935</v>
      </c>
      <c r="AN14" s="40">
        <f t="shared" si="23"/>
        <v>0.28348333333333331</v>
      </c>
      <c r="AO14" s="39">
        <f t="shared" si="14"/>
        <v>7.2896965384942981E-5</v>
      </c>
      <c r="AP14" s="37">
        <f t="shared" si="15"/>
        <v>0.19946250000000001</v>
      </c>
      <c r="AQ14" s="40">
        <f t="shared" si="16"/>
        <v>1.0800000000000001E-2</v>
      </c>
      <c r="AR14" s="39">
        <f t="shared" si="24"/>
        <v>0.55079832546166074</v>
      </c>
      <c r="AS14" s="37">
        <f t="shared" si="25"/>
        <v>2.8000000000000003</v>
      </c>
      <c r="AT14" s="40">
        <f t="shared" si="26"/>
        <v>83.562176175261953</v>
      </c>
    </row>
    <row r="15" spans="1:46" x14ac:dyDescent="0.25">
      <c r="O15">
        <f>0.205*2.5/(Lm*Fsw)</f>
        <v>0.10049019607843138</v>
      </c>
      <c r="Q15">
        <v>8</v>
      </c>
      <c r="R15" s="39">
        <f t="shared" si="0"/>
        <v>30</v>
      </c>
      <c r="S15" s="37">
        <f t="shared" si="1"/>
        <v>0.10666666666666667</v>
      </c>
      <c r="T15" s="37">
        <f t="shared" si="2"/>
        <v>24</v>
      </c>
      <c r="U15" s="40">
        <f t="shared" si="3"/>
        <v>0.14814814814814814</v>
      </c>
      <c r="V15" s="39">
        <f t="shared" si="4"/>
        <v>1</v>
      </c>
      <c r="W15" s="37">
        <f t="shared" si="5"/>
        <v>0.1064581294844754</v>
      </c>
      <c r="X15" s="40">
        <f t="shared" si="6"/>
        <v>9.0489410061804068E-2</v>
      </c>
      <c r="Y15" s="39">
        <f t="shared" si="7"/>
        <v>0.50097943286811952</v>
      </c>
      <c r="Z15" s="37">
        <f t="shared" si="17"/>
        <v>0.50097943286811952</v>
      </c>
      <c r="AA15" s="37">
        <f t="shared" si="18"/>
        <v>0.12836143074622591</v>
      </c>
      <c r="AB15" s="37">
        <v>0</v>
      </c>
      <c r="AC15" s="37">
        <f t="shared" si="8"/>
        <v>3.2953313806436307E-4</v>
      </c>
      <c r="AD15" s="40">
        <f t="shared" si="19"/>
        <v>3.2953313806436307E-4</v>
      </c>
      <c r="AE15" s="39">
        <f t="shared" si="27"/>
        <v>1.5771574738440798E-2</v>
      </c>
      <c r="AF15" s="37">
        <f t="shared" si="20"/>
        <v>9.4373200797506954E-2</v>
      </c>
      <c r="AG15" s="37">
        <f t="shared" si="9"/>
        <v>4.0968984732326211E-5</v>
      </c>
      <c r="AH15" s="37">
        <f t="shared" si="10"/>
        <v>6.4772964327932683E-2</v>
      </c>
      <c r="AI15" s="40">
        <f t="shared" si="21"/>
        <v>6.4813933312665009E-2</v>
      </c>
      <c r="AJ15" s="39">
        <f t="shared" si="22"/>
        <v>1.3405838527674676E-2</v>
      </c>
      <c r="AK15" s="37">
        <f t="shared" si="11"/>
        <v>8.7007792032964382E-2</v>
      </c>
      <c r="AL15" s="37">
        <f t="shared" si="12"/>
        <v>6.1866666666666667E-2</v>
      </c>
      <c r="AM15" s="37">
        <f t="shared" si="13"/>
        <v>0.22935</v>
      </c>
      <c r="AN15" s="40">
        <f t="shared" si="23"/>
        <v>0.29121666666666668</v>
      </c>
      <c r="AO15" s="39">
        <f t="shared" si="14"/>
        <v>8.9063010287665682E-5</v>
      </c>
      <c r="AP15" s="37">
        <f t="shared" si="15"/>
        <v>0.19946250000000001</v>
      </c>
      <c r="AQ15" s="40">
        <f t="shared" si="16"/>
        <v>1.0800000000000001E-2</v>
      </c>
      <c r="AR15" s="39">
        <f t="shared" si="24"/>
        <v>0.56671169612768379</v>
      </c>
      <c r="AS15" s="37">
        <f t="shared" si="25"/>
        <v>3.2</v>
      </c>
      <c r="AT15" s="40">
        <f t="shared" si="26"/>
        <v>84.954736601946905</v>
      </c>
    </row>
    <row r="16" spans="1:46" x14ac:dyDescent="0.25">
      <c r="Q16">
        <v>9</v>
      </c>
      <c r="R16" s="39">
        <f t="shared" si="0"/>
        <v>30</v>
      </c>
      <c r="S16" s="37">
        <f t="shared" si="1"/>
        <v>0.12000000000000001</v>
      </c>
      <c r="T16" s="37">
        <f t="shared" si="2"/>
        <v>24</v>
      </c>
      <c r="U16" s="40">
        <f t="shared" si="3"/>
        <v>0.16666666666666666</v>
      </c>
      <c r="V16" s="39">
        <f t="shared" si="4"/>
        <v>1</v>
      </c>
      <c r="W16" s="37">
        <f t="shared" si="5"/>
        <v>0.11291589790636214</v>
      </c>
      <c r="X16" s="40">
        <f t="shared" si="6"/>
        <v>9.5978513220407805E-2</v>
      </c>
      <c r="Y16" s="39">
        <f t="shared" si="7"/>
        <v>0.53136893132405716</v>
      </c>
      <c r="Z16" s="37">
        <f t="shared" ref="Z16:Z79" si="28">CHOOSE(V16,Y16,U16+(0.5*Y16))</f>
        <v>0.53136893132405716</v>
      </c>
      <c r="AA16" s="37">
        <f t="shared" ref="AA16:AA79" si="29">CHOOSE(V16,Z16*SQRT((W16+X16)/3),SQRT((U16^2)+((Y16^2)/12)))</f>
        <v>0.14021644147171228</v>
      </c>
      <c r="AB16" s="37">
        <v>0</v>
      </c>
      <c r="AC16" s="37">
        <f t="shared" si="8"/>
        <v>3.9321300917980232E-4</v>
      </c>
      <c r="AD16" s="40">
        <f t="shared" si="19"/>
        <v>3.9321300917980232E-4</v>
      </c>
      <c r="AE16" s="39">
        <f t="shared" si="27"/>
        <v>1.8819316317727021E-2</v>
      </c>
      <c r="AF16" s="37">
        <f t="shared" si="20"/>
        <v>0.10308917802796345</v>
      </c>
      <c r="AG16" s="37">
        <f t="shared" si="9"/>
        <v>4.8885941681813253E-5</v>
      </c>
      <c r="AH16" s="37">
        <f t="shared" si="10"/>
        <v>7.2869584868924267E-2</v>
      </c>
      <c r="AI16" s="40">
        <f t="shared" si="21"/>
        <v>7.2918470810606081E-2</v>
      </c>
      <c r="AJ16" s="39">
        <f t="shared" si="22"/>
        <v>1.5996418870067967E-2</v>
      </c>
      <c r="AK16" s="37">
        <f t="shared" si="11"/>
        <v>9.5043525989459005E-2</v>
      </c>
      <c r="AL16" s="37">
        <f t="shared" si="12"/>
        <v>6.9599999999999995E-2</v>
      </c>
      <c r="AM16" s="37">
        <f t="shared" si="13"/>
        <v>0.22935</v>
      </c>
      <c r="AN16" s="40">
        <f t="shared" si="23"/>
        <v>0.29894999999999999</v>
      </c>
      <c r="AO16" s="39">
        <f t="shared" si="14"/>
        <v>1.0627378626481143E-4</v>
      </c>
      <c r="AP16" s="37">
        <f t="shared" si="15"/>
        <v>0.19946250000000001</v>
      </c>
      <c r="AQ16" s="40">
        <f t="shared" si="16"/>
        <v>1.0800000000000001E-2</v>
      </c>
      <c r="AR16" s="39">
        <f t="shared" si="24"/>
        <v>0.58263045760605081</v>
      </c>
      <c r="AS16" s="37">
        <f t="shared" si="25"/>
        <v>3.6</v>
      </c>
      <c r="AT16" s="40">
        <f t="shared" si="26"/>
        <v>86.070238250511807</v>
      </c>
    </row>
    <row r="17" spans="17:46" x14ac:dyDescent="0.25">
      <c r="Q17">
        <v>10</v>
      </c>
      <c r="R17" s="39">
        <f t="shared" si="0"/>
        <v>30</v>
      </c>
      <c r="S17" s="37">
        <f t="shared" si="1"/>
        <v>0.13333333333333333</v>
      </c>
      <c r="T17" s="37">
        <f t="shared" si="2"/>
        <v>24</v>
      </c>
      <c r="U17" s="40">
        <f t="shared" si="3"/>
        <v>0.18518518518518517</v>
      </c>
      <c r="V17" s="39">
        <f t="shared" si="4"/>
        <v>1</v>
      </c>
      <c r="W17" s="37">
        <f t="shared" si="5"/>
        <v>0.11902380714238084</v>
      </c>
      <c r="X17" s="40">
        <f t="shared" si="6"/>
        <v>0.10117023607102371</v>
      </c>
      <c r="Y17" s="39">
        <f t="shared" si="7"/>
        <v>0.56011203361120399</v>
      </c>
      <c r="Z17" s="37">
        <f t="shared" si="28"/>
        <v>0.56011203361120399</v>
      </c>
      <c r="AA17" s="37">
        <f t="shared" si="29"/>
        <v>0.1517459325598568</v>
      </c>
      <c r="AB17" s="37">
        <v>0</v>
      </c>
      <c r="AC17" s="37">
        <f t="shared" si="8"/>
        <v>4.6053656096921221E-4</v>
      </c>
      <c r="AD17" s="40">
        <f t="shared" si="19"/>
        <v>4.6053656096921221E-4</v>
      </c>
      <c r="AE17" s="39">
        <f t="shared" si="27"/>
        <v>2.2041445767107561E-2</v>
      </c>
      <c r="AF17" s="37">
        <f t="shared" si="20"/>
        <v>0.11156582846126757</v>
      </c>
      <c r="AG17" s="37">
        <f t="shared" si="9"/>
        <v>5.7255896769145311E-5</v>
      </c>
      <c r="AH17" s="37">
        <f t="shared" si="10"/>
        <v>8.0966205409915851E-2</v>
      </c>
      <c r="AI17" s="40">
        <f t="shared" si="21"/>
        <v>8.1023461306685002E-2</v>
      </c>
      <c r="AJ17" s="39">
        <f t="shared" si="22"/>
        <v>1.8735228902041427E-2</v>
      </c>
      <c r="AK17" s="37">
        <f t="shared" si="11"/>
        <v>0.10285861154133684</v>
      </c>
      <c r="AL17" s="37">
        <f t="shared" si="12"/>
        <v>7.7333333333333323E-2</v>
      </c>
      <c r="AM17" s="37">
        <f t="shared" si="13"/>
        <v>0.22935</v>
      </c>
      <c r="AN17" s="40">
        <f t="shared" si="23"/>
        <v>0.30668333333333331</v>
      </c>
      <c r="AO17" s="39">
        <f t="shared" si="14"/>
        <v>1.2446934080248982E-4</v>
      </c>
      <c r="AP17" s="37">
        <f t="shared" si="15"/>
        <v>0.19946250000000001</v>
      </c>
      <c r="AQ17" s="40">
        <f t="shared" si="16"/>
        <v>1.0800000000000001E-2</v>
      </c>
      <c r="AR17" s="39">
        <f t="shared" si="24"/>
        <v>0.59855430054179004</v>
      </c>
      <c r="AS17" s="37">
        <f t="shared" si="25"/>
        <v>4</v>
      </c>
      <c r="AT17" s="40">
        <f t="shared" si="26"/>
        <v>86.983859243082776</v>
      </c>
    </row>
    <row r="18" spans="17:46" x14ac:dyDescent="0.25">
      <c r="Q18">
        <v>11</v>
      </c>
      <c r="R18" s="39">
        <f t="shared" si="0"/>
        <v>30</v>
      </c>
      <c r="S18" s="37">
        <f t="shared" si="1"/>
        <v>0.14666666666666667</v>
      </c>
      <c r="T18" s="37">
        <f t="shared" si="2"/>
        <v>24</v>
      </c>
      <c r="U18" s="40">
        <f t="shared" si="3"/>
        <v>0.20370370370370372</v>
      </c>
      <c r="V18" s="39">
        <f t="shared" si="4"/>
        <v>1</v>
      </c>
      <c r="W18" s="37">
        <f t="shared" si="5"/>
        <v>0.12483322207382669</v>
      </c>
      <c r="X18" s="40">
        <f t="shared" si="6"/>
        <v>0.10610823876275266</v>
      </c>
      <c r="Y18" s="39">
        <f t="shared" si="7"/>
        <v>0.587450456818008</v>
      </c>
      <c r="Z18" s="37">
        <f t="shared" si="28"/>
        <v>0.587450456818008</v>
      </c>
      <c r="AA18" s="37">
        <f t="shared" si="29"/>
        <v>0.16299023008379954</v>
      </c>
      <c r="AB18" s="37">
        <v>0</v>
      </c>
      <c r="AC18" s="37">
        <f t="shared" si="8"/>
        <v>5.3131630205539826E-4</v>
      </c>
      <c r="AD18" s="40">
        <f t="shared" si="19"/>
        <v>5.3131630205539826E-4</v>
      </c>
      <c r="AE18" s="39">
        <f t="shared" si="27"/>
        <v>2.5428989681705438E-2</v>
      </c>
      <c r="AF18" s="37">
        <f t="shared" si="20"/>
        <v>0.11983280041604347</v>
      </c>
      <c r="AG18" s="37">
        <f t="shared" si="9"/>
        <v>6.6055540255536004E-5</v>
      </c>
      <c r="AH18" s="37">
        <f t="shared" si="10"/>
        <v>8.9062825950907448E-2</v>
      </c>
      <c r="AI18" s="40">
        <f t="shared" si="21"/>
        <v>8.9128881491162978E-2</v>
      </c>
      <c r="AJ18" s="39">
        <f t="shared" si="22"/>
        <v>2.1614641229449619E-2</v>
      </c>
      <c r="AK18" s="37">
        <f t="shared" si="11"/>
        <v>0.11048038308776181</v>
      </c>
      <c r="AL18" s="37">
        <f t="shared" si="12"/>
        <v>8.5066666666666665E-2</v>
      </c>
      <c r="AM18" s="37">
        <f t="shared" si="13"/>
        <v>0.22935</v>
      </c>
      <c r="AN18" s="40">
        <f t="shared" si="23"/>
        <v>0.31441666666666668</v>
      </c>
      <c r="AO18" s="39">
        <f t="shared" si="14"/>
        <v>1.4359900055551308E-4</v>
      </c>
      <c r="AP18" s="37">
        <f t="shared" si="15"/>
        <v>0.19946250000000001</v>
      </c>
      <c r="AQ18" s="40">
        <f t="shared" si="16"/>
        <v>1.0800000000000001E-2</v>
      </c>
      <c r="AR18" s="39">
        <f t="shared" si="24"/>
        <v>0.61448296346044062</v>
      </c>
      <c r="AS18" s="37">
        <f t="shared" si="25"/>
        <v>4.4000000000000004</v>
      </c>
      <c r="AT18" s="40">
        <f t="shared" si="26"/>
        <v>87.745836052529086</v>
      </c>
    </row>
    <row r="19" spans="17:46" x14ac:dyDescent="0.25">
      <c r="Q19">
        <v>12</v>
      </c>
      <c r="R19" s="39">
        <f t="shared" si="0"/>
        <v>30</v>
      </c>
      <c r="S19" s="37">
        <f t="shared" si="1"/>
        <v>0.16</v>
      </c>
      <c r="T19" s="37">
        <f t="shared" si="2"/>
        <v>24</v>
      </c>
      <c r="U19" s="40">
        <f t="shared" si="3"/>
        <v>0.22222222222222221</v>
      </c>
      <c r="V19" s="39">
        <f t="shared" si="4"/>
        <v>1</v>
      </c>
      <c r="W19" s="37">
        <f t="shared" si="5"/>
        <v>0.13038404810405299</v>
      </c>
      <c r="X19" s="40">
        <f t="shared" si="6"/>
        <v>0.11082644088844502</v>
      </c>
      <c r="Y19" s="39">
        <f t="shared" si="7"/>
        <v>0.61357199107789639</v>
      </c>
      <c r="Z19" s="37">
        <f t="shared" si="28"/>
        <v>0.61357199107789639</v>
      </c>
      <c r="AA19" s="37">
        <f t="shared" si="29"/>
        <v>0.17398146901277414</v>
      </c>
      <c r="AB19" s="37">
        <v>0</v>
      </c>
      <c r="AC19" s="37">
        <f t="shared" si="8"/>
        <v>6.0539103119685775E-4</v>
      </c>
      <c r="AD19" s="40">
        <f t="shared" si="19"/>
        <v>6.0539103119685775E-4</v>
      </c>
      <c r="AE19" s="39">
        <f t="shared" si="27"/>
        <v>2.8974232912011774E-2</v>
      </c>
      <c r="AF19" s="37">
        <f t="shared" si="20"/>
        <v>0.12791371999155227</v>
      </c>
      <c r="AG19" s="37">
        <f t="shared" si="9"/>
        <v>7.5264830905555287E-5</v>
      </c>
      <c r="AH19" s="37">
        <f t="shared" si="10"/>
        <v>9.7159446491899032E-2</v>
      </c>
      <c r="AI19" s="40">
        <f t="shared" si="21"/>
        <v>9.723471132280459E-2</v>
      </c>
      <c r="AJ19" s="39">
        <f t="shared" si="22"/>
        <v>2.4628097975210005E-2</v>
      </c>
      <c r="AK19" s="37">
        <f t="shared" si="11"/>
        <v>0.11793062281598302</v>
      </c>
      <c r="AL19" s="37">
        <f t="shared" si="12"/>
        <v>9.2799999999999994E-2</v>
      </c>
      <c r="AM19" s="37">
        <f t="shared" si="13"/>
        <v>0.22935</v>
      </c>
      <c r="AN19" s="40">
        <f t="shared" si="23"/>
        <v>0.32214999999999999</v>
      </c>
      <c r="AO19" s="39">
        <f t="shared" si="14"/>
        <v>1.6361919762077239E-4</v>
      </c>
      <c r="AP19" s="37">
        <f t="shared" si="15"/>
        <v>0.19946250000000001</v>
      </c>
      <c r="AQ19" s="40">
        <f t="shared" si="16"/>
        <v>1.0800000000000001E-2</v>
      </c>
      <c r="AR19" s="39">
        <f t="shared" si="24"/>
        <v>0.63041622155162225</v>
      </c>
      <c r="AS19" s="37">
        <f t="shared" si="25"/>
        <v>4.8</v>
      </c>
      <c r="AT19" s="40">
        <f t="shared" si="26"/>
        <v>88.391014687793216</v>
      </c>
    </row>
    <row r="20" spans="17:46" x14ac:dyDescent="0.25">
      <c r="Q20">
        <v>13</v>
      </c>
      <c r="R20" s="39">
        <f t="shared" si="0"/>
        <v>30</v>
      </c>
      <c r="S20" s="37">
        <f t="shared" si="1"/>
        <v>0.17333333333333334</v>
      </c>
      <c r="T20" s="37">
        <f t="shared" si="2"/>
        <v>24</v>
      </c>
      <c r="U20" s="40">
        <f t="shared" si="3"/>
        <v>0.24074074074074073</v>
      </c>
      <c r="V20" s="39">
        <f t="shared" si="4"/>
        <v>1</v>
      </c>
      <c r="W20" s="37">
        <f t="shared" si="5"/>
        <v>0.1357080199054819</v>
      </c>
      <c r="X20" s="40">
        <f t="shared" si="6"/>
        <v>0.11535181691965961</v>
      </c>
      <c r="Y20" s="39">
        <f t="shared" si="7"/>
        <v>0.63862597602579729</v>
      </c>
      <c r="Z20" s="37">
        <f t="shared" si="28"/>
        <v>0.63862597602579729</v>
      </c>
      <c r="AA20" s="37">
        <f t="shared" si="29"/>
        <v>0.18474579967211663</v>
      </c>
      <c r="AB20" s="37">
        <v>0</v>
      </c>
      <c r="AC20" s="37">
        <f t="shared" si="8"/>
        <v>6.8262020992979696E-4</v>
      </c>
      <c r="AD20" s="40">
        <f t="shared" si="19"/>
        <v>6.8262020992979696E-4</v>
      </c>
      <c r="AE20" s="39">
        <f t="shared" si="27"/>
        <v>3.2670449236504896E-2</v>
      </c>
      <c r="AF20" s="37">
        <f t="shared" si="20"/>
        <v>0.13582781328935353</v>
      </c>
      <c r="AG20" s="37">
        <f t="shared" si="9"/>
        <v>8.486629636965043E-5</v>
      </c>
      <c r="AH20" s="37">
        <f t="shared" si="10"/>
        <v>0.1052560670328906</v>
      </c>
      <c r="AI20" s="40">
        <f t="shared" si="21"/>
        <v>0.10534093332926026</v>
      </c>
      <c r="AJ20" s="39">
        <f t="shared" si="22"/>
        <v>2.7769881851029164E-2</v>
      </c>
      <c r="AK20" s="37">
        <f t="shared" si="11"/>
        <v>0.12522705631580724</v>
      </c>
      <c r="AL20" s="37">
        <f t="shared" si="12"/>
        <v>0.10053333333333334</v>
      </c>
      <c r="AM20" s="37">
        <f t="shared" si="13"/>
        <v>0.22935</v>
      </c>
      <c r="AN20" s="40">
        <f t="shared" si="23"/>
        <v>0.32988333333333331</v>
      </c>
      <c r="AO20" s="39">
        <f t="shared" si="14"/>
        <v>1.8449194862967485E-4</v>
      </c>
      <c r="AP20" s="37">
        <f t="shared" si="15"/>
        <v>0.19946250000000001</v>
      </c>
      <c r="AQ20" s="40">
        <f t="shared" si="16"/>
        <v>1.0800000000000001E-2</v>
      </c>
      <c r="AR20" s="39">
        <f t="shared" si="24"/>
        <v>0.64635387882115314</v>
      </c>
      <c r="AS20" s="37">
        <f t="shared" si="25"/>
        <v>5.2</v>
      </c>
      <c r="AT20" s="40">
        <f t="shared" si="26"/>
        <v>88.944325091872784</v>
      </c>
    </row>
    <row r="21" spans="17:46" x14ac:dyDescent="0.25">
      <c r="Q21">
        <v>14</v>
      </c>
      <c r="R21" s="39">
        <f t="shared" si="0"/>
        <v>30</v>
      </c>
      <c r="S21" s="37">
        <f t="shared" si="1"/>
        <v>0.18666666666666668</v>
      </c>
      <c r="T21" s="37">
        <f t="shared" si="2"/>
        <v>24</v>
      </c>
      <c r="U21" s="40">
        <f t="shared" si="3"/>
        <v>0.25925925925925924</v>
      </c>
      <c r="V21" s="39">
        <f t="shared" si="4"/>
        <v>1</v>
      </c>
      <c r="W21" s="37">
        <f t="shared" si="5"/>
        <v>0.14083086782851739</v>
      </c>
      <c r="X21" s="40">
        <f t="shared" si="6"/>
        <v>0.11970623765423977</v>
      </c>
      <c r="Y21" s="39">
        <f t="shared" si="7"/>
        <v>0.66273349566361128</v>
      </c>
      <c r="Z21" s="37">
        <f t="shared" si="28"/>
        <v>0.66273349566361128</v>
      </c>
      <c r="AA21" s="37">
        <f t="shared" si="29"/>
        <v>0.19530487584337089</v>
      </c>
      <c r="AB21" s="37">
        <v>0</v>
      </c>
      <c r="AC21" s="37">
        <f t="shared" si="8"/>
        <v>7.6287989056389037E-4</v>
      </c>
      <c r="AD21" s="40">
        <f t="shared" si="19"/>
        <v>7.6287989056389037E-4</v>
      </c>
      <c r="AE21" s="39">
        <f t="shared" si="27"/>
        <v>3.651170647406006E-2</v>
      </c>
      <c r="AF21" s="37">
        <f t="shared" si="20"/>
        <v>0.14359100048626197</v>
      </c>
      <c r="AG21" s="37">
        <f t="shared" si="9"/>
        <v>9.484452693497016E-5</v>
      </c>
      <c r="AH21" s="37">
        <f t="shared" si="10"/>
        <v>0.1133526875738822</v>
      </c>
      <c r="AI21" s="40">
        <f t="shared" si="21"/>
        <v>0.11344753210081716</v>
      </c>
      <c r="AJ21" s="39">
        <f t="shared" si="22"/>
        <v>3.1034950502951048E-2</v>
      </c>
      <c r="AK21" s="37">
        <f t="shared" si="11"/>
        <v>0.13238436126502567</v>
      </c>
      <c r="AL21" s="37">
        <f t="shared" si="12"/>
        <v>0.10826666666666666</v>
      </c>
      <c r="AM21" s="37">
        <f t="shared" si="13"/>
        <v>0.22935</v>
      </c>
      <c r="AN21" s="40">
        <f t="shared" si="23"/>
        <v>0.33761666666666668</v>
      </c>
      <c r="AO21" s="39">
        <f t="shared" si="14"/>
        <v>2.0618375420645686E-4</v>
      </c>
      <c r="AP21" s="37">
        <f t="shared" si="15"/>
        <v>0.19946250000000001</v>
      </c>
      <c r="AQ21" s="40">
        <f t="shared" si="16"/>
        <v>1.0800000000000001E-2</v>
      </c>
      <c r="AR21" s="39">
        <f t="shared" si="24"/>
        <v>0.66229576241225419</v>
      </c>
      <c r="AS21" s="37">
        <f t="shared" si="25"/>
        <v>5.6000000000000005</v>
      </c>
      <c r="AT21" s="40">
        <f t="shared" si="26"/>
        <v>89.424074053041267</v>
      </c>
    </row>
    <row r="22" spans="17:46" x14ac:dyDescent="0.25">
      <c r="Q22">
        <v>15</v>
      </c>
      <c r="R22" s="39">
        <f t="shared" si="0"/>
        <v>30</v>
      </c>
      <c r="S22" s="37">
        <f t="shared" si="1"/>
        <v>0.2</v>
      </c>
      <c r="T22" s="37">
        <f t="shared" si="2"/>
        <v>24</v>
      </c>
      <c r="U22" s="40">
        <f t="shared" si="3"/>
        <v>0.27777777777777773</v>
      </c>
      <c r="V22" s="39">
        <f t="shared" si="4"/>
        <v>1</v>
      </c>
      <c r="W22" s="37">
        <f t="shared" si="5"/>
        <v>0.14577379737113252</v>
      </c>
      <c r="X22" s="40">
        <f t="shared" si="6"/>
        <v>0.12390772776546262</v>
      </c>
      <c r="Y22" s="39">
        <f t="shared" si="7"/>
        <v>0.6859943405700355</v>
      </c>
      <c r="Z22" s="37">
        <f t="shared" si="28"/>
        <v>0.6859943405700355</v>
      </c>
      <c r="AA22" s="37">
        <f t="shared" si="29"/>
        <v>0.20567689305109654</v>
      </c>
      <c r="AB22" s="37">
        <v>0</v>
      </c>
      <c r="AC22" s="37">
        <f t="shared" si="8"/>
        <v>8.4605968670304417E-4</v>
      </c>
      <c r="AD22" s="40">
        <f t="shared" si="19"/>
        <v>8.4605968670304417E-4</v>
      </c>
      <c r="AE22" s="39">
        <f t="shared" si="27"/>
        <v>4.049272149198125E-2</v>
      </c>
      <c r="AF22" s="37">
        <f t="shared" si="20"/>
        <v>0.15121665919799046</v>
      </c>
      <c r="AG22" s="37">
        <f t="shared" si="9"/>
        <v>1.0518579888740548E-4</v>
      </c>
      <c r="AH22" s="37">
        <f t="shared" si="10"/>
        <v>0.12144930811487377</v>
      </c>
      <c r="AI22" s="40">
        <f t="shared" si="21"/>
        <v>0.12155449391376118</v>
      </c>
      <c r="AJ22" s="39">
        <f t="shared" si="22"/>
        <v>3.4418813268184058E-2</v>
      </c>
      <c r="AK22" s="37">
        <f t="shared" si="11"/>
        <v>0.13941487121591803</v>
      </c>
      <c r="AL22" s="37">
        <f t="shared" si="12"/>
        <v>0.11599999999999999</v>
      </c>
      <c r="AM22" s="37">
        <f t="shared" si="13"/>
        <v>0.22935</v>
      </c>
      <c r="AN22" s="40">
        <f t="shared" si="23"/>
        <v>0.34534999999999999</v>
      </c>
      <c r="AO22" s="39">
        <f t="shared" si="14"/>
        <v>2.2866478019001194E-4</v>
      </c>
      <c r="AP22" s="37">
        <f t="shared" si="15"/>
        <v>0.19946250000000001</v>
      </c>
      <c r="AQ22" s="40">
        <f t="shared" si="16"/>
        <v>1.0800000000000001E-2</v>
      </c>
      <c r="AR22" s="39">
        <f t="shared" si="24"/>
        <v>0.67824171838065428</v>
      </c>
      <c r="AS22" s="37">
        <f t="shared" si="25"/>
        <v>6</v>
      </c>
      <c r="AT22" s="40">
        <f t="shared" si="26"/>
        <v>89.844007644797927</v>
      </c>
    </row>
    <row r="23" spans="17:46" x14ac:dyDescent="0.25">
      <c r="Q23">
        <v>16</v>
      </c>
      <c r="R23" s="39">
        <f t="shared" si="0"/>
        <v>30</v>
      </c>
      <c r="S23" s="37">
        <f t="shared" si="1"/>
        <v>0.21333333333333335</v>
      </c>
      <c r="T23" s="37">
        <f t="shared" si="2"/>
        <v>24</v>
      </c>
      <c r="U23" s="40">
        <f t="shared" si="3"/>
        <v>0.29629629629629628</v>
      </c>
      <c r="V23" s="39">
        <f t="shared" si="4"/>
        <v>1</v>
      </c>
      <c r="W23" s="37">
        <f t="shared" si="5"/>
        <v>0.15055453054181619</v>
      </c>
      <c r="X23" s="40">
        <f t="shared" si="6"/>
        <v>0.12797135096054377</v>
      </c>
      <c r="Y23" s="39">
        <f t="shared" si="7"/>
        <v>0.70849190843207621</v>
      </c>
      <c r="Z23" s="37">
        <f t="shared" si="28"/>
        <v>0.70849190843207621</v>
      </c>
      <c r="AA23" s="37">
        <f t="shared" si="29"/>
        <v>0.21587733394267861</v>
      </c>
      <c r="AB23" s="37">
        <v>0</v>
      </c>
      <c r="AC23" s="37">
        <f t="shared" si="8"/>
        <v>9.3206046620397556E-4</v>
      </c>
      <c r="AD23" s="40">
        <f t="shared" si="19"/>
        <v>9.3206046620397556E-4</v>
      </c>
      <c r="AE23" s="39">
        <f t="shared" si="27"/>
        <v>4.4608749790167761E-2</v>
      </c>
      <c r="AF23" s="37">
        <f t="shared" si="20"/>
        <v>0.15871617249328521</v>
      </c>
      <c r="AG23" s="37">
        <f t="shared" si="9"/>
        <v>1.15877787690224E-4</v>
      </c>
      <c r="AH23" s="37">
        <f t="shared" si="10"/>
        <v>0.12954592865586537</v>
      </c>
      <c r="AI23" s="40">
        <f t="shared" si="21"/>
        <v>0.1296618064435556</v>
      </c>
      <c r="AJ23" s="39">
        <f t="shared" si="22"/>
        <v>3.7917437321642593E-2</v>
      </c>
      <c r="AK23" s="37">
        <f t="shared" si="11"/>
        <v>0.14632908083932095</v>
      </c>
      <c r="AL23" s="37">
        <f t="shared" si="12"/>
        <v>0.12373333333333333</v>
      </c>
      <c r="AM23" s="37">
        <f t="shared" si="13"/>
        <v>0.22935</v>
      </c>
      <c r="AN23" s="40">
        <f t="shared" si="23"/>
        <v>0.3530833333333333</v>
      </c>
      <c r="AO23" s="39">
        <f t="shared" si="14"/>
        <v>2.5190823410918263E-4</v>
      </c>
      <c r="AP23" s="37">
        <f t="shared" si="15"/>
        <v>0.19946250000000001</v>
      </c>
      <c r="AQ23" s="40">
        <f t="shared" si="16"/>
        <v>1.0800000000000001E-2</v>
      </c>
      <c r="AR23" s="39">
        <f t="shared" si="24"/>
        <v>0.69419160847720207</v>
      </c>
      <c r="AS23" s="37">
        <f t="shared" si="25"/>
        <v>6.4</v>
      </c>
      <c r="AT23" s="40">
        <f t="shared" si="26"/>
        <v>90.214648168683837</v>
      </c>
    </row>
    <row r="24" spans="17:46" x14ac:dyDescent="0.25">
      <c r="Q24">
        <v>17</v>
      </c>
      <c r="R24" s="39">
        <f t="shared" si="0"/>
        <v>30</v>
      </c>
      <c r="S24" s="37">
        <f t="shared" si="1"/>
        <v>0.22666666666666668</v>
      </c>
      <c r="T24" s="37">
        <f t="shared" si="2"/>
        <v>24</v>
      </c>
      <c r="U24" s="40">
        <f t="shared" si="3"/>
        <v>0.31481481481481483</v>
      </c>
      <c r="V24" s="39">
        <f t="shared" si="4"/>
        <v>1</v>
      </c>
      <c r="W24" s="37">
        <f t="shared" si="5"/>
        <v>0.15518805795979707</v>
      </c>
      <c r="X24" s="40">
        <f t="shared" si="6"/>
        <v>0.13190984926582749</v>
      </c>
      <c r="Y24" s="39">
        <f t="shared" si="7"/>
        <v>0.73029674334022154</v>
      </c>
      <c r="Z24" s="37">
        <f t="shared" si="28"/>
        <v>0.73029674334022154</v>
      </c>
      <c r="AA24" s="37">
        <f t="shared" si="29"/>
        <v>0.22591951653458836</v>
      </c>
      <c r="AB24" s="37">
        <v>0</v>
      </c>
      <c r="AC24" s="37">
        <f t="shared" si="8"/>
        <v>1.020792559024443E-3</v>
      </c>
      <c r="AD24" s="40">
        <f t="shared" si="19"/>
        <v>1.020792559024443E-3</v>
      </c>
      <c r="AE24" s="39">
        <f t="shared" si="27"/>
        <v>4.8855499728084263E-2</v>
      </c>
      <c r="AF24" s="37">
        <f t="shared" si="20"/>
        <v>0.16609933197259316</v>
      </c>
      <c r="AG24" s="37">
        <f t="shared" si="9"/>
        <v>1.2690934517601185E-4</v>
      </c>
      <c r="AH24" s="37">
        <f t="shared" si="10"/>
        <v>0.13764254919685695</v>
      </c>
      <c r="AI24" s="40">
        <f t="shared" si="21"/>
        <v>0.13776945854203296</v>
      </c>
      <c r="AJ24" s="39">
        <f t="shared" si="22"/>
        <v>4.1527174768871619E-2</v>
      </c>
      <c r="AK24" s="37">
        <f t="shared" si="11"/>
        <v>0.15313601754479722</v>
      </c>
      <c r="AL24" s="37">
        <f t="shared" si="12"/>
        <v>0.13146666666666668</v>
      </c>
      <c r="AM24" s="37">
        <f t="shared" si="13"/>
        <v>0.22935</v>
      </c>
      <c r="AN24" s="40">
        <f t="shared" si="23"/>
        <v>0.36081666666666667</v>
      </c>
      <c r="AO24" s="39">
        <f t="shared" si="14"/>
        <v>2.7588988081741708E-4</v>
      </c>
      <c r="AP24" s="37">
        <f t="shared" si="15"/>
        <v>0.19946250000000001</v>
      </c>
      <c r="AQ24" s="40">
        <f t="shared" si="16"/>
        <v>1.0800000000000001E-2</v>
      </c>
      <c r="AR24" s="39">
        <f t="shared" si="24"/>
        <v>0.71014530764854145</v>
      </c>
      <c r="AS24" s="37">
        <f t="shared" si="25"/>
        <v>6.8000000000000007</v>
      </c>
      <c r="AT24" s="40">
        <f t="shared" si="26"/>
        <v>90.544186849150449</v>
      </c>
    </row>
    <row r="25" spans="17:46" x14ac:dyDescent="0.25">
      <c r="Q25">
        <v>18</v>
      </c>
      <c r="R25" s="39">
        <f t="shared" si="0"/>
        <v>30</v>
      </c>
      <c r="S25" s="37">
        <f t="shared" si="1"/>
        <v>0.24000000000000002</v>
      </c>
      <c r="T25" s="37">
        <f t="shared" si="2"/>
        <v>24</v>
      </c>
      <c r="U25" s="40">
        <f t="shared" si="3"/>
        <v>0.33333333333333331</v>
      </c>
      <c r="V25" s="39">
        <f t="shared" si="4"/>
        <v>1</v>
      </c>
      <c r="W25" s="37">
        <f t="shared" si="5"/>
        <v>0.15968719422671313</v>
      </c>
      <c r="X25" s="40">
        <f t="shared" si="6"/>
        <v>0.13573411509270614</v>
      </c>
      <c r="Y25" s="39">
        <f t="shared" si="7"/>
        <v>0.75146914930217945</v>
      </c>
      <c r="Z25" s="37">
        <f t="shared" si="28"/>
        <v>0.75146914930217945</v>
      </c>
      <c r="AA25" s="37">
        <f t="shared" si="29"/>
        <v>0.23581500598639027</v>
      </c>
      <c r="AB25" s="37">
        <v>0</v>
      </c>
      <c r="AC25" s="37">
        <f t="shared" si="8"/>
        <v>1.1121743409672254E-3</v>
      </c>
      <c r="AD25" s="40">
        <f t="shared" si="19"/>
        <v>1.1121743409672254E-3</v>
      </c>
      <c r="AE25" s="39">
        <f t="shared" si="27"/>
        <v>5.3229064742237708E-2</v>
      </c>
      <c r="AF25" s="37">
        <f t="shared" si="20"/>
        <v>0.17337464051033297</v>
      </c>
      <c r="AG25" s="37">
        <f t="shared" si="9"/>
        <v>1.3827032347160108E-4</v>
      </c>
      <c r="AH25" s="37">
        <f t="shared" si="10"/>
        <v>0.14573916973784853</v>
      </c>
      <c r="AI25" s="40">
        <f t="shared" si="21"/>
        <v>0.14587744006132014</v>
      </c>
      <c r="AJ25" s="39">
        <f t="shared" si="22"/>
        <v>4.5244705030902041E-2</v>
      </c>
      <c r="AK25" s="37">
        <f t="shared" si="11"/>
        <v>0.1598435205952187</v>
      </c>
      <c r="AL25" s="37">
        <f t="shared" si="12"/>
        <v>0.13919999999999999</v>
      </c>
      <c r="AM25" s="37">
        <f t="shared" si="13"/>
        <v>0.22935</v>
      </c>
      <c r="AN25" s="40">
        <f t="shared" si="23"/>
        <v>0.36854999999999999</v>
      </c>
      <c r="AO25" s="39">
        <f t="shared" si="14"/>
        <v>3.005876597208719E-4</v>
      </c>
      <c r="AP25" s="37">
        <f t="shared" si="15"/>
        <v>0.19946250000000001</v>
      </c>
      <c r="AQ25" s="40">
        <f t="shared" si="16"/>
        <v>1.0800000000000001E-2</v>
      </c>
      <c r="AR25" s="39">
        <f t="shared" si="24"/>
        <v>0.72610270206200822</v>
      </c>
      <c r="AS25" s="37">
        <f t="shared" si="25"/>
        <v>7.2</v>
      </c>
      <c r="AT25" s="40">
        <f t="shared" si="26"/>
        <v>90.839095462728352</v>
      </c>
    </row>
    <row r="26" spans="17:46" x14ac:dyDescent="0.25">
      <c r="Q26">
        <v>19</v>
      </c>
      <c r="R26" s="39">
        <f t="shared" si="0"/>
        <v>30</v>
      </c>
      <c r="S26" s="37">
        <f t="shared" si="1"/>
        <v>0.25333333333333335</v>
      </c>
      <c r="T26" s="37">
        <f t="shared" si="2"/>
        <v>24</v>
      </c>
      <c r="U26" s="40">
        <f t="shared" si="3"/>
        <v>0.35185185185185186</v>
      </c>
      <c r="V26" s="39">
        <f t="shared" si="4"/>
        <v>1</v>
      </c>
      <c r="W26" s="37">
        <f t="shared" si="5"/>
        <v>0.16406299603099619</v>
      </c>
      <c r="X26" s="40">
        <f t="shared" si="6"/>
        <v>0.13945354662634674</v>
      </c>
      <c r="Y26" s="39">
        <f t="shared" si="7"/>
        <v>0.77206115779292339</v>
      </c>
      <c r="Z26" s="37">
        <f t="shared" si="28"/>
        <v>0.77206115779292339</v>
      </c>
      <c r="AA26" s="37">
        <f t="shared" si="29"/>
        <v>0.24557392956284296</v>
      </c>
      <c r="AB26" s="37">
        <v>0</v>
      </c>
      <c r="AC26" s="37">
        <f t="shared" si="8"/>
        <v>1.206131097618723E-3</v>
      </c>
      <c r="AD26" s="40">
        <f t="shared" si="19"/>
        <v>1.206131097618723E-3</v>
      </c>
      <c r="AE26" s="39">
        <f t="shared" si="27"/>
        <v>5.7725868973869034E-2</v>
      </c>
      <c r="AF26" s="37">
        <f t="shared" si="20"/>
        <v>0.18054954381963695</v>
      </c>
      <c r="AG26" s="37">
        <f t="shared" si="9"/>
        <v>1.4995143375800342E-4</v>
      </c>
      <c r="AH26" s="37">
        <f t="shared" si="10"/>
        <v>0.15383579027884015</v>
      </c>
      <c r="AI26" s="40">
        <f t="shared" si="21"/>
        <v>0.15398574171259816</v>
      </c>
      <c r="AJ26" s="39">
        <f t="shared" si="22"/>
        <v>4.9066988627788667E-2</v>
      </c>
      <c r="AK26" s="37">
        <f t="shared" si="11"/>
        <v>0.16645845459890929</v>
      </c>
      <c r="AL26" s="37">
        <f t="shared" si="12"/>
        <v>0.14693333333333333</v>
      </c>
      <c r="AM26" s="37">
        <f t="shared" si="13"/>
        <v>0.22935</v>
      </c>
      <c r="AN26" s="40">
        <f t="shared" si="23"/>
        <v>0.3762833333333333</v>
      </c>
      <c r="AO26" s="39">
        <f t="shared" si="14"/>
        <v>3.2598137773479004E-4</v>
      </c>
      <c r="AP26" s="37">
        <f t="shared" si="15"/>
        <v>0.19946250000000001</v>
      </c>
      <c r="AQ26" s="40">
        <f t="shared" si="16"/>
        <v>1.0800000000000001E-2</v>
      </c>
      <c r="AR26" s="39">
        <f t="shared" si="24"/>
        <v>0.74206368752128493</v>
      </c>
      <c r="AS26" s="37">
        <f t="shared" si="25"/>
        <v>7.6000000000000005</v>
      </c>
      <c r="AT26" s="40">
        <f t="shared" si="26"/>
        <v>91.104554996009895</v>
      </c>
    </row>
    <row r="27" spans="17:46" x14ac:dyDescent="0.25">
      <c r="Q27">
        <v>20</v>
      </c>
      <c r="R27" s="39">
        <f t="shared" si="0"/>
        <v>30</v>
      </c>
      <c r="S27" s="37">
        <f t="shared" si="1"/>
        <v>0.26666666666666666</v>
      </c>
      <c r="T27" s="37">
        <f t="shared" si="2"/>
        <v>24</v>
      </c>
      <c r="U27" s="40">
        <f t="shared" si="3"/>
        <v>0.37037037037037035</v>
      </c>
      <c r="V27" s="39">
        <f t="shared" si="4"/>
        <v>1</v>
      </c>
      <c r="W27" s="37">
        <f t="shared" si="5"/>
        <v>0.16832508230603463</v>
      </c>
      <c r="X27" s="40">
        <f t="shared" si="6"/>
        <v>0.1430763199601294</v>
      </c>
      <c r="Y27" s="39">
        <f t="shared" si="7"/>
        <v>0.79211803438133954</v>
      </c>
      <c r="Z27" s="37">
        <f t="shared" si="28"/>
        <v>0.79211803438133954</v>
      </c>
      <c r="AA27" s="37">
        <f t="shared" si="29"/>
        <v>0.25520522143783103</v>
      </c>
      <c r="AB27" s="37">
        <v>0</v>
      </c>
      <c r="AC27" s="37">
        <f t="shared" si="8"/>
        <v>1.3025941009826476E-3</v>
      </c>
      <c r="AD27" s="40">
        <f t="shared" si="19"/>
        <v>1.3025941009826476E-3</v>
      </c>
      <c r="AE27" s="39">
        <f t="shared" si="27"/>
        <v>6.2342623076309119E-2</v>
      </c>
      <c r="AF27" s="37">
        <f t="shared" si="20"/>
        <v>0.18763061043578147</v>
      </c>
      <c r="AG27" s="37">
        <f t="shared" si="9"/>
        <v>1.6194413147351832E-4</v>
      </c>
      <c r="AH27" s="37">
        <f t="shared" si="10"/>
        <v>0.1619324108198317</v>
      </c>
      <c r="AI27" s="40">
        <f t="shared" si="21"/>
        <v>0.16209435495130523</v>
      </c>
      <c r="AJ27" s="39">
        <f t="shared" si="22"/>
        <v>5.2991229614862738E-2</v>
      </c>
      <c r="AK27" s="37">
        <f t="shared" si="11"/>
        <v>0.17298687544616898</v>
      </c>
      <c r="AL27" s="37">
        <f t="shared" si="12"/>
        <v>0.15466666666666665</v>
      </c>
      <c r="AM27" s="37">
        <f t="shared" si="13"/>
        <v>0.22935</v>
      </c>
      <c r="AN27" s="40">
        <f t="shared" si="23"/>
        <v>0.38401666666666667</v>
      </c>
      <c r="AO27" s="39">
        <f t="shared" si="14"/>
        <v>3.5205245972503983E-4</v>
      </c>
      <c r="AP27" s="37">
        <f t="shared" si="15"/>
        <v>0.19946250000000001</v>
      </c>
      <c r="AQ27" s="40">
        <f t="shared" si="16"/>
        <v>1.0800000000000001E-2</v>
      </c>
      <c r="AR27" s="39">
        <f t="shared" si="24"/>
        <v>0.75802816817867957</v>
      </c>
      <c r="AS27" s="37">
        <f t="shared" si="25"/>
        <v>8</v>
      </c>
      <c r="AT27" s="40">
        <f t="shared" si="26"/>
        <v>91.34476215853141</v>
      </c>
    </row>
    <row r="28" spans="17:46" x14ac:dyDescent="0.25">
      <c r="Q28">
        <v>21</v>
      </c>
      <c r="R28" s="39">
        <f t="shared" si="0"/>
        <v>30</v>
      </c>
      <c r="S28" s="37">
        <f t="shared" si="1"/>
        <v>0.28000000000000003</v>
      </c>
      <c r="T28" s="37">
        <f t="shared" si="2"/>
        <v>24</v>
      </c>
      <c r="U28" s="40">
        <f t="shared" si="3"/>
        <v>0.3888888888888889</v>
      </c>
      <c r="V28" s="39">
        <f t="shared" si="4"/>
        <v>1</v>
      </c>
      <c r="W28" s="37">
        <f t="shared" si="5"/>
        <v>0.1724818831066034</v>
      </c>
      <c r="X28" s="40">
        <f t="shared" si="6"/>
        <v>0.14660960064061287</v>
      </c>
      <c r="Y28" s="39">
        <f t="shared" si="7"/>
        <v>0.81167944991342778</v>
      </c>
      <c r="Z28" s="37">
        <f t="shared" si="28"/>
        <v>0.81167944991342778</v>
      </c>
      <c r="AA28" s="37">
        <f t="shared" si="29"/>
        <v>0.2647168156902629</v>
      </c>
      <c r="AB28" s="37">
        <v>0</v>
      </c>
      <c r="AC28" s="37">
        <f t="shared" si="8"/>
        <v>1.4014998501838524E-3</v>
      </c>
      <c r="AD28" s="40">
        <f t="shared" si="19"/>
        <v>1.4014998501838524E-3</v>
      </c>
      <c r="AE28" s="39">
        <f t="shared" si="27"/>
        <v>6.7076287874790211E-2</v>
      </c>
      <c r="AF28" s="37">
        <f t="shared" si="20"/>
        <v>0.19462367360959279</v>
      </c>
      <c r="AG28" s="37">
        <f t="shared" si="9"/>
        <v>1.7424052191474922E-4</v>
      </c>
      <c r="AH28" s="37">
        <f t="shared" si="10"/>
        <v>0.17002903136082331</v>
      </c>
      <c r="AI28" s="40">
        <f t="shared" si="21"/>
        <v>0.17020327188273807</v>
      </c>
      <c r="AJ28" s="39">
        <f t="shared" si="22"/>
        <v>5.7014844693571674E-2</v>
      </c>
      <c r="AK28" s="37">
        <f t="shared" si="11"/>
        <v>0.17943416112853008</v>
      </c>
      <c r="AL28" s="37">
        <f t="shared" si="12"/>
        <v>0.16240000000000002</v>
      </c>
      <c r="AM28" s="37">
        <f t="shared" si="13"/>
        <v>0.22935</v>
      </c>
      <c r="AN28" s="40">
        <f t="shared" si="23"/>
        <v>0.39175000000000004</v>
      </c>
      <c r="AO28" s="39">
        <f t="shared" si="14"/>
        <v>3.7878374329293306E-4</v>
      </c>
      <c r="AP28" s="37">
        <f t="shared" si="15"/>
        <v>0.19946250000000001</v>
      </c>
      <c r="AQ28" s="40">
        <f t="shared" si="16"/>
        <v>1.0800000000000001E-2</v>
      </c>
      <c r="AR28" s="39">
        <f t="shared" si="24"/>
        <v>0.77399605547621497</v>
      </c>
      <c r="AS28" s="37">
        <f t="shared" si="25"/>
        <v>8.4</v>
      </c>
      <c r="AT28" s="40">
        <f t="shared" si="26"/>
        <v>91.563152515046113</v>
      </c>
    </row>
    <row r="29" spans="17:46" x14ac:dyDescent="0.25">
      <c r="Q29">
        <v>22</v>
      </c>
      <c r="R29" s="39">
        <f t="shared" si="0"/>
        <v>30</v>
      </c>
      <c r="S29" s="37">
        <f t="shared" si="1"/>
        <v>0.29333333333333333</v>
      </c>
      <c r="T29" s="37">
        <f t="shared" si="2"/>
        <v>24</v>
      </c>
      <c r="U29" s="40">
        <f t="shared" si="3"/>
        <v>0.40740740740740744</v>
      </c>
      <c r="V29" s="39">
        <f t="shared" si="4"/>
        <v>1</v>
      </c>
      <c r="W29" s="37">
        <f t="shared" si="5"/>
        <v>0.17654083569153814</v>
      </c>
      <c r="X29" s="40">
        <f t="shared" si="6"/>
        <v>0.15005971033780738</v>
      </c>
      <c r="Y29" s="39">
        <f t="shared" si="7"/>
        <v>0.83078040325429725</v>
      </c>
      <c r="Z29" s="37">
        <f t="shared" si="28"/>
        <v>0.83078040325429725</v>
      </c>
      <c r="AA29" s="37">
        <f t="shared" si="29"/>
        <v>0.2741158003976904</v>
      </c>
      <c r="AB29" s="37">
        <v>0</v>
      </c>
      <c r="AC29" s="37">
        <f t="shared" si="8"/>
        <v>1.5027894405533291E-3</v>
      </c>
      <c r="AD29" s="40">
        <f t="shared" si="19"/>
        <v>1.5027894405533291E-3</v>
      </c>
      <c r="AE29" s="39">
        <f t="shared" si="27"/>
        <v>7.1924044170626658E-2</v>
      </c>
      <c r="AF29" s="37">
        <f t="shared" si="20"/>
        <v>0.20153394459932958</v>
      </c>
      <c r="AG29" s="37">
        <f t="shared" si="9"/>
        <v>1.8683328179852195E-4</v>
      </c>
      <c r="AH29" s="37">
        <f t="shared" si="10"/>
        <v>0.1781256519018149</v>
      </c>
      <c r="AI29" s="40">
        <f t="shared" si="21"/>
        <v>0.17831248518361342</v>
      </c>
      <c r="AJ29" s="39">
        <f t="shared" si="22"/>
        <v>6.1135437545032638E-2</v>
      </c>
      <c r="AK29" s="37">
        <f t="shared" si="11"/>
        <v>0.18580511618871207</v>
      </c>
      <c r="AL29" s="37">
        <f t="shared" si="12"/>
        <v>0.17013333333333333</v>
      </c>
      <c r="AM29" s="37">
        <f t="shared" si="13"/>
        <v>0.22935</v>
      </c>
      <c r="AN29" s="40">
        <f t="shared" si="23"/>
        <v>0.3994833333333333</v>
      </c>
      <c r="AO29" s="39">
        <f t="shared" si="14"/>
        <v>4.0615930825765645E-4</v>
      </c>
      <c r="AP29" s="37">
        <f t="shared" si="15"/>
        <v>0.19946250000000001</v>
      </c>
      <c r="AQ29" s="40">
        <f t="shared" si="16"/>
        <v>1.0800000000000001E-2</v>
      </c>
      <c r="AR29" s="39">
        <f t="shared" si="24"/>
        <v>0.78996726726575772</v>
      </c>
      <c r="AS29" s="37">
        <f t="shared" si="25"/>
        <v>8.8000000000000007</v>
      </c>
      <c r="AT29" s="40">
        <f t="shared" si="26"/>
        <v>91.762565551582028</v>
      </c>
    </row>
    <row r="30" spans="17:46" x14ac:dyDescent="0.25">
      <c r="Q30">
        <v>23</v>
      </c>
      <c r="R30" s="39">
        <f t="shared" si="0"/>
        <v>30</v>
      </c>
      <c r="S30" s="37">
        <f t="shared" si="1"/>
        <v>0.3066666666666667</v>
      </c>
      <c r="T30" s="37">
        <f t="shared" si="2"/>
        <v>24</v>
      </c>
      <c r="U30" s="40">
        <f t="shared" si="3"/>
        <v>0.42592592592592593</v>
      </c>
      <c r="V30" s="39">
        <f t="shared" si="4"/>
        <v>1</v>
      </c>
      <c r="W30" s="37">
        <f t="shared" si="5"/>
        <v>0.1805085408874974</v>
      </c>
      <c r="X30" s="40">
        <f t="shared" si="6"/>
        <v>0.15343225975437277</v>
      </c>
      <c r="Y30" s="39">
        <f t="shared" si="7"/>
        <v>0.84945195711763499</v>
      </c>
      <c r="Z30" s="37">
        <f t="shared" si="28"/>
        <v>0.84945195711763499</v>
      </c>
      <c r="AA30" s="37">
        <f t="shared" si="29"/>
        <v>0.28340854207841354</v>
      </c>
      <c r="AB30" s="37">
        <v>0</v>
      </c>
      <c r="AC30" s="37">
        <f t="shared" si="8"/>
        <v>1.606408034460238E-3</v>
      </c>
      <c r="AD30" s="40">
        <f t="shared" si="19"/>
        <v>1.606408034460238E-3</v>
      </c>
      <c r="AE30" s="39">
        <f t="shared" si="27"/>
        <v>7.6883267415045198E-2</v>
      </c>
      <c r="AF30" s="37">
        <f t="shared" si="20"/>
        <v>0.20836610416233783</v>
      </c>
      <c r="AG30" s="37">
        <f t="shared" si="9"/>
        <v>1.99715593473435E-4</v>
      </c>
      <c r="AH30" s="37">
        <f t="shared" si="10"/>
        <v>0.18622227244280648</v>
      </c>
      <c r="AI30" s="40">
        <f t="shared" si="21"/>
        <v>0.18642198803627991</v>
      </c>
      <c r="AJ30" s="39">
        <f t="shared" si="22"/>
        <v>6.5350777302788404E-2</v>
      </c>
      <c r="AK30" s="37">
        <f t="shared" si="11"/>
        <v>0.1921040560717594</v>
      </c>
      <c r="AL30" s="37">
        <f t="shared" si="12"/>
        <v>0.17786666666666667</v>
      </c>
      <c r="AM30" s="37">
        <f t="shared" si="13"/>
        <v>0.22935</v>
      </c>
      <c r="AN30" s="40">
        <f t="shared" si="23"/>
        <v>0.40721666666666667</v>
      </c>
      <c r="AO30" s="39">
        <f t="shared" si="14"/>
        <v>4.341643336379022E-4</v>
      </c>
      <c r="AP30" s="37">
        <f t="shared" si="15"/>
        <v>0.19946250000000001</v>
      </c>
      <c r="AQ30" s="40">
        <f t="shared" si="16"/>
        <v>1.0800000000000001E-2</v>
      </c>
      <c r="AR30" s="39">
        <f t="shared" si="24"/>
        <v>0.80594172707104472</v>
      </c>
      <c r="AS30" s="37">
        <f t="shared" si="25"/>
        <v>9.2000000000000011</v>
      </c>
      <c r="AT30" s="40">
        <f t="shared" si="26"/>
        <v>91.945368571450189</v>
      </c>
    </row>
    <row r="31" spans="17:46" x14ac:dyDescent="0.25">
      <c r="Q31">
        <v>24</v>
      </c>
      <c r="R31" s="39">
        <f t="shared" si="0"/>
        <v>30</v>
      </c>
      <c r="S31" s="37">
        <f t="shared" si="1"/>
        <v>0.32</v>
      </c>
      <c r="T31" s="37">
        <f t="shared" si="2"/>
        <v>24</v>
      </c>
      <c r="U31" s="40">
        <f t="shared" si="3"/>
        <v>0.44444444444444442</v>
      </c>
      <c r="V31" s="39">
        <f t="shared" si="4"/>
        <v>1</v>
      </c>
      <c r="W31" s="37">
        <f t="shared" si="5"/>
        <v>0.18439088914585774</v>
      </c>
      <c r="X31" s="40">
        <f t="shared" si="6"/>
        <v>0.15673225577397906</v>
      </c>
      <c r="Y31" s="39">
        <f t="shared" si="7"/>
        <v>0.86772183127462466</v>
      </c>
      <c r="Z31" s="37">
        <f t="shared" si="28"/>
        <v>0.86772183127462466</v>
      </c>
      <c r="AA31" s="37">
        <f t="shared" si="29"/>
        <v>0.29260078722683397</v>
      </c>
      <c r="AB31" s="37">
        <v>0</v>
      </c>
      <c r="AC31" s="37">
        <f t="shared" si="8"/>
        <v>1.7123044137152593E-3</v>
      </c>
      <c r="AD31" s="40">
        <f t="shared" si="19"/>
        <v>1.7123044137152593E-3</v>
      </c>
      <c r="AE31" s="39">
        <f t="shared" si="27"/>
        <v>8.1951506287047879E-2</v>
      </c>
      <c r="AF31" s="37">
        <f t="shared" si="20"/>
        <v>0.2151243772053274</v>
      </c>
      <c r="AG31" s="37">
        <f t="shared" si="9"/>
        <v>2.1288108927270793E-4</v>
      </c>
      <c r="AH31" s="37">
        <f t="shared" si="10"/>
        <v>0.19431889298379806</v>
      </c>
      <c r="AI31" s="40">
        <f t="shared" si="21"/>
        <v>0.19453177407307076</v>
      </c>
      <c r="AJ31" s="39">
        <f t="shared" si="22"/>
        <v>6.9658780343990687E-2</v>
      </c>
      <c r="AK31" s="37">
        <f t="shared" si="11"/>
        <v>0.19833487594919602</v>
      </c>
      <c r="AL31" s="37">
        <f t="shared" si="12"/>
        <v>0.18559999999999999</v>
      </c>
      <c r="AM31" s="37">
        <f t="shared" si="13"/>
        <v>0.22935</v>
      </c>
      <c r="AN31" s="40">
        <f t="shared" si="23"/>
        <v>0.41494999999999999</v>
      </c>
      <c r="AO31" s="39">
        <f t="shared" si="14"/>
        <v>4.6278497667979985E-4</v>
      </c>
      <c r="AP31" s="37">
        <f t="shared" si="15"/>
        <v>0.19946250000000001</v>
      </c>
      <c r="AQ31" s="40">
        <f t="shared" si="16"/>
        <v>1.0800000000000001E-2</v>
      </c>
      <c r="AR31" s="39">
        <f t="shared" si="24"/>
        <v>0.82191936346346584</v>
      </c>
      <c r="AS31" s="37">
        <f t="shared" si="25"/>
        <v>9.6</v>
      </c>
      <c r="AT31" s="40">
        <f t="shared" si="26"/>
        <v>92.113550922828082</v>
      </c>
    </row>
    <row r="32" spans="17:46" x14ac:dyDescent="0.25">
      <c r="Q32">
        <v>25</v>
      </c>
      <c r="R32" s="39">
        <f t="shared" si="0"/>
        <v>30</v>
      </c>
      <c r="S32" s="37">
        <f t="shared" si="1"/>
        <v>0.33333333333333337</v>
      </c>
      <c r="T32" s="37">
        <f t="shared" si="2"/>
        <v>24</v>
      </c>
      <c r="U32" s="40">
        <f t="shared" si="3"/>
        <v>0.46296296296296302</v>
      </c>
      <c r="V32" s="39">
        <f t="shared" si="4"/>
        <v>1</v>
      </c>
      <c r="W32" s="37">
        <f t="shared" si="5"/>
        <v>0.18819316317727028</v>
      </c>
      <c r="X32" s="40">
        <f t="shared" si="6"/>
        <v>0.15996418870067972</v>
      </c>
      <c r="Y32" s="39">
        <f t="shared" si="7"/>
        <v>0.88561488554009549</v>
      </c>
      <c r="Z32" s="37">
        <f t="shared" si="28"/>
        <v>0.88561488554009549</v>
      </c>
      <c r="AA32" s="37">
        <f t="shared" si="29"/>
        <v>0.30169774593578269</v>
      </c>
      <c r="AB32" s="37">
        <v>0</v>
      </c>
      <c r="AC32" s="37">
        <f t="shared" si="8"/>
        <v>1.8204305980546419E-3</v>
      </c>
      <c r="AD32" s="40">
        <f t="shared" si="19"/>
        <v>1.8204305980546419E-3</v>
      </c>
      <c r="AE32" s="39">
        <f t="shared" si="27"/>
        <v>8.7126464433921441E-2</v>
      </c>
      <c r="AF32" s="37">
        <f t="shared" si="20"/>
        <v>0.2218125942647301</v>
      </c>
      <c r="AG32" s="37">
        <f t="shared" si="9"/>
        <v>2.2632380408246896E-4</v>
      </c>
      <c r="AH32" s="37">
        <f t="shared" si="10"/>
        <v>0.20241551352478968</v>
      </c>
      <c r="AI32" s="40">
        <f t="shared" si="21"/>
        <v>0.20264183732887214</v>
      </c>
      <c r="AJ32" s="39">
        <f t="shared" si="22"/>
        <v>7.4057494768833207E-2</v>
      </c>
      <c r="AK32" s="37">
        <f t="shared" si="11"/>
        <v>0.20450110740111482</v>
      </c>
      <c r="AL32" s="37">
        <f t="shared" si="12"/>
        <v>0.19333333333333333</v>
      </c>
      <c r="AM32" s="37">
        <f t="shared" si="13"/>
        <v>0.22935</v>
      </c>
      <c r="AN32" s="40">
        <f t="shared" si="23"/>
        <v>0.4226833333333333</v>
      </c>
      <c r="AO32" s="39">
        <f t="shared" si="14"/>
        <v>4.9200826974449773E-4</v>
      </c>
      <c r="AP32" s="37">
        <f t="shared" si="15"/>
        <v>0.19946250000000001</v>
      </c>
      <c r="AQ32" s="40">
        <f t="shared" si="16"/>
        <v>1.0800000000000001E-2</v>
      </c>
      <c r="AR32" s="39">
        <f t="shared" si="24"/>
        <v>0.8379001095300046</v>
      </c>
      <c r="AS32" s="37">
        <f t="shared" si="25"/>
        <v>10.000000000000002</v>
      </c>
      <c r="AT32" s="40">
        <f t="shared" si="26"/>
        <v>92.268796528275615</v>
      </c>
    </row>
    <row r="33" spans="17:46" x14ac:dyDescent="0.25">
      <c r="Q33">
        <v>26</v>
      </c>
      <c r="R33" s="39">
        <f t="shared" si="0"/>
        <v>30</v>
      </c>
      <c r="S33" s="37">
        <f t="shared" si="1"/>
        <v>0.34666666666666668</v>
      </c>
      <c r="T33" s="37">
        <f t="shared" si="2"/>
        <v>24</v>
      </c>
      <c r="U33" s="40">
        <f t="shared" si="3"/>
        <v>0.48148148148148145</v>
      </c>
      <c r="V33" s="39">
        <f t="shared" si="4"/>
        <v>1</v>
      </c>
      <c r="W33" s="37">
        <f t="shared" si="5"/>
        <v>0.19192012227313043</v>
      </c>
      <c r="X33" s="40">
        <f t="shared" si="6"/>
        <v>0.16313210393216085</v>
      </c>
      <c r="Y33" s="39">
        <f t="shared" si="7"/>
        <v>0.90315351657943743</v>
      </c>
      <c r="Z33" s="37">
        <f t="shared" si="28"/>
        <v>0.90315351657943743</v>
      </c>
      <c r="AA33" s="37">
        <f t="shared" si="29"/>
        <v>0.3107041613549274</v>
      </c>
      <c r="AB33" s="37">
        <v>0</v>
      </c>
      <c r="AC33" s="37">
        <f t="shared" si="8"/>
        <v>1.9307415176653753E-3</v>
      </c>
      <c r="AD33" s="40">
        <f t="shared" si="19"/>
        <v>1.9307415176653753E-3</v>
      </c>
      <c r="AE33" s="39">
        <f t="shared" si="27"/>
        <v>9.2405984798173912E-2</v>
      </c>
      <c r="AF33" s="37">
        <f t="shared" si="20"/>
        <v>0.22843424257353642</v>
      </c>
      <c r="AG33" s="37">
        <f t="shared" si="9"/>
        <v>2.4003813462866827E-4</v>
      </c>
      <c r="AH33" s="37">
        <f t="shared" si="10"/>
        <v>0.2105121340657812</v>
      </c>
      <c r="AI33" s="40">
        <f t="shared" si="21"/>
        <v>0.21075217220040987</v>
      </c>
      <c r="AJ33" s="39">
        <f t="shared" si="22"/>
        <v>7.8545087078447817E-2</v>
      </c>
      <c r="AK33" s="37">
        <f t="shared" si="11"/>
        <v>0.21060596549747468</v>
      </c>
      <c r="AL33" s="37">
        <f t="shared" si="12"/>
        <v>0.20106666666666667</v>
      </c>
      <c r="AM33" s="37">
        <f t="shared" si="13"/>
        <v>0.22935</v>
      </c>
      <c r="AN33" s="40">
        <f t="shared" si="23"/>
        <v>0.43041666666666667</v>
      </c>
      <c r="AO33" s="39">
        <f t="shared" si="14"/>
        <v>5.2182203180145277E-4</v>
      </c>
      <c r="AP33" s="37">
        <f t="shared" si="15"/>
        <v>0.19946250000000001</v>
      </c>
      <c r="AQ33" s="40">
        <f t="shared" si="16"/>
        <v>1.0800000000000001E-2</v>
      </c>
      <c r="AR33" s="39">
        <f t="shared" si="24"/>
        <v>0.85388390241654333</v>
      </c>
      <c r="AS33" s="37">
        <f t="shared" si="25"/>
        <v>10.4</v>
      </c>
      <c r="AT33" s="40">
        <f t="shared" si="26"/>
        <v>92.412540329892792</v>
      </c>
    </row>
    <row r="34" spans="17:46" x14ac:dyDescent="0.25">
      <c r="Q34">
        <v>27</v>
      </c>
      <c r="R34" s="39">
        <f t="shared" si="0"/>
        <v>30</v>
      </c>
      <c r="S34" s="37">
        <f t="shared" si="1"/>
        <v>0.36000000000000004</v>
      </c>
      <c r="T34" s="37">
        <f t="shared" si="2"/>
        <v>24</v>
      </c>
      <c r="U34" s="40">
        <f t="shared" si="3"/>
        <v>0.5</v>
      </c>
      <c r="V34" s="39">
        <f t="shared" si="4"/>
        <v>1</v>
      </c>
      <c r="W34" s="37">
        <f t="shared" si="5"/>
        <v>0.19557607215607947</v>
      </c>
      <c r="X34" s="40">
        <f t="shared" si="6"/>
        <v>0.16623966133266752</v>
      </c>
      <c r="Y34" s="39">
        <f t="shared" si="7"/>
        <v>0.92035798661684454</v>
      </c>
      <c r="Z34" s="37">
        <f t="shared" si="28"/>
        <v>0.92035798661684454</v>
      </c>
      <c r="AA34" s="37">
        <f t="shared" si="29"/>
        <v>0.31962436783585468</v>
      </c>
      <c r="AB34" s="37">
        <v>0</v>
      </c>
      <c r="AC34" s="37">
        <f t="shared" si="8"/>
        <v>2.0431947302893948E-3</v>
      </c>
      <c r="AD34" s="40">
        <f t="shared" si="19"/>
        <v>2.0431947302893948E-3</v>
      </c>
      <c r="AE34" s="39">
        <f t="shared" si="27"/>
        <v>9.7788036078039736E-2</v>
      </c>
      <c r="AF34" s="37">
        <f t="shared" si="20"/>
        <v>0.23499250881041012</v>
      </c>
      <c r="AG34" s="37">
        <f t="shared" si="9"/>
        <v>2.540188043062491E-4</v>
      </c>
      <c r="AH34" s="37">
        <f t="shared" si="10"/>
        <v>0.21860875460677281</v>
      </c>
      <c r="AI34" s="40">
        <f t="shared" si="21"/>
        <v>0.21886277341107907</v>
      </c>
      <c r="AJ34" s="39">
        <f t="shared" si="22"/>
        <v>8.3119830666333758E-2</v>
      </c>
      <c r="AK34" s="37">
        <f t="shared" si="11"/>
        <v>0.21665238821083665</v>
      </c>
      <c r="AL34" s="37">
        <f t="shared" si="12"/>
        <v>0.20880000000000001</v>
      </c>
      <c r="AM34" s="37">
        <f t="shared" si="13"/>
        <v>0.22935</v>
      </c>
      <c r="AN34" s="40">
        <f t="shared" si="23"/>
        <v>0.43815000000000004</v>
      </c>
      <c r="AO34" s="39">
        <f t="shared" si="14"/>
        <v>5.5221479197010677E-4</v>
      </c>
      <c r="AP34" s="37">
        <f t="shared" si="15"/>
        <v>0.19946250000000001</v>
      </c>
      <c r="AQ34" s="40">
        <f t="shared" si="16"/>
        <v>1.0800000000000001E-2</v>
      </c>
      <c r="AR34" s="39">
        <f t="shared" si="24"/>
        <v>0.86987068293333858</v>
      </c>
      <c r="AS34" s="37">
        <f t="shared" si="25"/>
        <v>10.8</v>
      </c>
      <c r="AT34" s="40">
        <f t="shared" si="26"/>
        <v>92.546012663143856</v>
      </c>
    </row>
    <row r="35" spans="17:46" x14ac:dyDescent="0.25">
      <c r="Q35">
        <v>28</v>
      </c>
      <c r="R35" s="39">
        <f t="shared" si="0"/>
        <v>30</v>
      </c>
      <c r="S35" s="37">
        <f t="shared" si="1"/>
        <v>0.37333333333333335</v>
      </c>
      <c r="T35" s="37">
        <f t="shared" si="2"/>
        <v>24</v>
      </c>
      <c r="U35" s="40">
        <f t="shared" si="3"/>
        <v>0.51851851851851849</v>
      </c>
      <c r="V35" s="39">
        <f t="shared" si="4"/>
        <v>1</v>
      </c>
      <c r="W35" s="37">
        <f t="shared" si="5"/>
        <v>0.19916492328386207</v>
      </c>
      <c r="X35" s="40">
        <f t="shared" si="6"/>
        <v>0.16929018479128274</v>
      </c>
      <c r="Y35" s="39">
        <f t="shared" si="7"/>
        <v>0.93724669780640979</v>
      </c>
      <c r="Z35" s="37">
        <f t="shared" si="28"/>
        <v>0.93724669780640979</v>
      </c>
      <c r="AA35" s="37">
        <f t="shared" si="29"/>
        <v>0.32846233995652468</v>
      </c>
      <c r="AB35" s="37">
        <v>0</v>
      </c>
      <c r="AC35" s="37">
        <f t="shared" si="8"/>
        <v>2.1577501753943119E-3</v>
      </c>
      <c r="AD35" s="40">
        <f t="shared" si="19"/>
        <v>2.1577501753943119E-3</v>
      </c>
      <c r="AE35" s="39">
        <f t="shared" si="27"/>
        <v>0.10327070096200255</v>
      </c>
      <c r="AF35" s="37">
        <f t="shared" si="20"/>
        <v>0.24149031514318411</v>
      </c>
      <c r="AG35" s="37">
        <f t="shared" si="9"/>
        <v>2.6826083261659013E-4</v>
      </c>
      <c r="AH35" s="37">
        <f t="shared" si="10"/>
        <v>0.2267053751477644</v>
      </c>
      <c r="AI35" s="40">
        <f t="shared" si="21"/>
        <v>0.22697363598038098</v>
      </c>
      <c r="AJ35" s="39">
        <f t="shared" si="22"/>
        <v>8.7780095817702158E-2</v>
      </c>
      <c r="AK35" s="37">
        <f t="shared" si="11"/>
        <v>0.22264306964682556</v>
      </c>
      <c r="AL35" s="37">
        <f t="shared" si="12"/>
        <v>0.21653333333333333</v>
      </c>
      <c r="AM35" s="37">
        <f t="shared" si="13"/>
        <v>0.22935</v>
      </c>
      <c r="AN35" s="40">
        <f t="shared" si="23"/>
        <v>0.4458833333333333</v>
      </c>
      <c r="AO35" s="39">
        <f t="shared" si="14"/>
        <v>5.8317572307954374E-4</v>
      </c>
      <c r="AP35" s="37">
        <f t="shared" si="15"/>
        <v>0.19946250000000001</v>
      </c>
      <c r="AQ35" s="40">
        <f t="shared" si="16"/>
        <v>1.0800000000000001E-2</v>
      </c>
      <c r="AR35" s="39">
        <f t="shared" si="24"/>
        <v>0.88586039521218818</v>
      </c>
      <c r="AS35" s="37">
        <f t="shared" si="25"/>
        <v>11.200000000000001</v>
      </c>
      <c r="AT35" s="40">
        <f t="shared" si="26"/>
        <v>92.670274467483338</v>
      </c>
    </row>
    <row r="36" spans="17:46" x14ac:dyDescent="0.25">
      <c r="Q36">
        <v>29</v>
      </c>
      <c r="R36" s="39">
        <f t="shared" si="0"/>
        <v>30</v>
      </c>
      <c r="S36" s="37">
        <f t="shared" si="1"/>
        <v>0.38666666666666671</v>
      </c>
      <c r="T36" s="37">
        <f t="shared" si="2"/>
        <v>24</v>
      </c>
      <c r="U36" s="40">
        <f t="shared" si="3"/>
        <v>0.53703703703703709</v>
      </c>
      <c r="V36" s="39">
        <f t="shared" si="4"/>
        <v>2</v>
      </c>
      <c r="W36" s="37">
        <f t="shared" si="5"/>
        <v>0.19999999999999996</v>
      </c>
      <c r="X36" s="40">
        <f t="shared" si="6"/>
        <v>0.8</v>
      </c>
      <c r="Y36" s="39">
        <f t="shared" si="7"/>
        <v>0.94117647058823517</v>
      </c>
      <c r="Z36" s="37">
        <f t="shared" si="28"/>
        <v>1.0076252723311547</v>
      </c>
      <c r="AA36" s="37">
        <f t="shared" si="29"/>
        <v>0.60185259121199874</v>
      </c>
      <c r="AB36" s="37">
        <v>0</v>
      </c>
      <c r="AC36" s="37">
        <f t="shared" si="8"/>
        <v>7.2445308309719457E-3</v>
      </c>
      <c r="AD36" s="40">
        <f t="shared" si="19"/>
        <v>7.2445308309719457E-3</v>
      </c>
      <c r="AE36" s="39">
        <f t="shared" si="27"/>
        <v>0.1074074074074074</v>
      </c>
      <c r="AF36" s="37">
        <f t="shared" si="20"/>
        <v>0.26915666127688437</v>
      </c>
      <c r="AG36" s="37">
        <f t="shared" si="9"/>
        <v>3.3324841822470949E-4</v>
      </c>
      <c r="AH36" s="37">
        <f t="shared" si="10"/>
        <v>0.23480199568875604</v>
      </c>
      <c r="AI36" s="40">
        <f t="shared" si="21"/>
        <v>0.23513524410698075</v>
      </c>
      <c r="AJ36" s="39">
        <f t="shared" si="22"/>
        <v>0.42962962962962969</v>
      </c>
      <c r="AK36" s="37">
        <f t="shared" si="11"/>
        <v>0.53831332255376874</v>
      </c>
      <c r="AL36" s="37">
        <f t="shared" si="12"/>
        <v>0.22426666666666667</v>
      </c>
      <c r="AM36" s="37">
        <f t="shared" si="13"/>
        <v>0.22935</v>
      </c>
      <c r="AN36" s="40">
        <f t="shared" si="23"/>
        <v>0.45361666666666667</v>
      </c>
      <c r="AO36" s="39">
        <f t="shared" si="14"/>
        <v>7.2445308309719461E-4</v>
      </c>
      <c r="AP36" s="37">
        <f t="shared" si="15"/>
        <v>0.19946250000000001</v>
      </c>
      <c r="AQ36" s="40">
        <f t="shared" si="16"/>
        <v>1.0800000000000001E-2</v>
      </c>
      <c r="AR36" s="39">
        <f t="shared" si="24"/>
        <v>0.9069833946877166</v>
      </c>
      <c r="AS36" s="37">
        <f t="shared" si="25"/>
        <v>11.600000000000001</v>
      </c>
      <c r="AT36" s="40">
        <f t="shared" si="26"/>
        <v>92.748184225838543</v>
      </c>
    </row>
    <row r="37" spans="17:46" x14ac:dyDescent="0.25">
      <c r="Q37">
        <v>30</v>
      </c>
      <c r="R37" s="39">
        <f t="shared" si="0"/>
        <v>30</v>
      </c>
      <c r="S37" s="37">
        <f t="shared" si="1"/>
        <v>0.4</v>
      </c>
      <c r="T37" s="37">
        <f t="shared" si="2"/>
        <v>24</v>
      </c>
      <c r="U37" s="40">
        <f t="shared" si="3"/>
        <v>0.55555555555555547</v>
      </c>
      <c r="V37" s="39">
        <f t="shared" si="4"/>
        <v>2</v>
      </c>
      <c r="W37" s="37">
        <f t="shared" si="5"/>
        <v>0.19999999999999996</v>
      </c>
      <c r="X37" s="40">
        <f t="shared" si="6"/>
        <v>0.8</v>
      </c>
      <c r="Y37" s="39">
        <f t="shared" si="7"/>
        <v>0.94117647058823517</v>
      </c>
      <c r="Z37" s="37">
        <f t="shared" si="28"/>
        <v>1.0261437908496731</v>
      </c>
      <c r="AA37" s="37">
        <f t="shared" si="29"/>
        <v>0.61843329285196091</v>
      </c>
      <c r="AB37" s="37">
        <v>0</v>
      </c>
      <c r="AC37" s="37">
        <f t="shared" si="8"/>
        <v>7.6491947541543846E-3</v>
      </c>
      <c r="AD37" s="40">
        <f t="shared" si="19"/>
        <v>7.6491947541543846E-3</v>
      </c>
      <c r="AE37" s="39">
        <f t="shared" si="27"/>
        <v>0.11111111111111106</v>
      </c>
      <c r="AF37" s="37">
        <f t="shared" si="20"/>
        <v>0.27657177647320386</v>
      </c>
      <c r="AG37" s="37">
        <f t="shared" si="9"/>
        <v>3.5186295869110164E-4</v>
      </c>
      <c r="AH37" s="37">
        <f t="shared" si="10"/>
        <v>0.24289861622974754</v>
      </c>
      <c r="AI37" s="40">
        <f t="shared" si="21"/>
        <v>0.24325047918843865</v>
      </c>
      <c r="AJ37" s="39">
        <f t="shared" si="22"/>
        <v>0.44444444444444442</v>
      </c>
      <c r="AK37" s="37">
        <f t="shared" si="11"/>
        <v>0.55314355294640782</v>
      </c>
      <c r="AL37" s="37">
        <f t="shared" si="12"/>
        <v>0.23199999999999998</v>
      </c>
      <c r="AM37" s="37">
        <f t="shared" si="13"/>
        <v>0.22935</v>
      </c>
      <c r="AN37" s="40">
        <f t="shared" si="23"/>
        <v>0.46134999999999998</v>
      </c>
      <c r="AO37" s="39">
        <f t="shared" si="14"/>
        <v>7.6491947541543843E-4</v>
      </c>
      <c r="AP37" s="37">
        <f t="shared" si="15"/>
        <v>0.19946250000000001</v>
      </c>
      <c r="AQ37" s="40">
        <f t="shared" si="16"/>
        <v>1.0800000000000001E-2</v>
      </c>
      <c r="AR37" s="39">
        <f t="shared" si="24"/>
        <v>0.92327709341800845</v>
      </c>
      <c r="AS37" s="37">
        <f t="shared" si="25"/>
        <v>12</v>
      </c>
      <c r="AT37" s="40">
        <f t="shared" si="26"/>
        <v>92.855704580626494</v>
      </c>
    </row>
    <row r="38" spans="17:46" x14ac:dyDescent="0.25">
      <c r="Q38">
        <v>31</v>
      </c>
      <c r="R38" s="39">
        <f t="shared" si="0"/>
        <v>30</v>
      </c>
      <c r="S38" s="37">
        <f t="shared" si="1"/>
        <v>0.41333333333333339</v>
      </c>
      <c r="T38" s="37">
        <f t="shared" si="2"/>
        <v>24</v>
      </c>
      <c r="U38" s="40">
        <f t="shared" si="3"/>
        <v>0.57407407407407418</v>
      </c>
      <c r="V38" s="39">
        <f t="shared" si="4"/>
        <v>2</v>
      </c>
      <c r="W38" s="37">
        <f t="shared" si="5"/>
        <v>0.19999999999999996</v>
      </c>
      <c r="X38" s="40">
        <f t="shared" si="6"/>
        <v>0.8</v>
      </c>
      <c r="Y38" s="39">
        <f t="shared" si="7"/>
        <v>0.94117647058823517</v>
      </c>
      <c r="Z38" s="37">
        <f t="shared" si="28"/>
        <v>1.0446623093681917</v>
      </c>
      <c r="AA38" s="37">
        <f t="shared" si="29"/>
        <v>0.63512109469225064</v>
      </c>
      <c r="AB38" s="37">
        <v>0</v>
      </c>
      <c r="AC38" s="37">
        <f t="shared" si="8"/>
        <v>8.0675760984616571E-3</v>
      </c>
      <c r="AD38" s="40">
        <f t="shared" si="19"/>
        <v>8.0675760984616571E-3</v>
      </c>
      <c r="AE38" s="39">
        <f t="shared" si="27"/>
        <v>0.11481481481481481</v>
      </c>
      <c r="AF38" s="37">
        <f t="shared" si="20"/>
        <v>0.28403478833519064</v>
      </c>
      <c r="AG38" s="37">
        <f t="shared" si="9"/>
        <v>3.711085005292361E-4</v>
      </c>
      <c r="AH38" s="37">
        <f t="shared" si="10"/>
        <v>0.25099523677073921</v>
      </c>
      <c r="AI38" s="40">
        <f t="shared" si="21"/>
        <v>0.25136634527126844</v>
      </c>
      <c r="AJ38" s="39">
        <f t="shared" si="22"/>
        <v>0.45925925925925937</v>
      </c>
      <c r="AK38" s="37">
        <f t="shared" si="11"/>
        <v>0.56806957667038138</v>
      </c>
      <c r="AL38" s="37">
        <f t="shared" si="12"/>
        <v>0.23973333333333335</v>
      </c>
      <c r="AM38" s="37">
        <f t="shared" si="13"/>
        <v>0.22935</v>
      </c>
      <c r="AN38" s="40">
        <f t="shared" si="23"/>
        <v>0.46908333333333335</v>
      </c>
      <c r="AO38" s="39">
        <f t="shared" si="14"/>
        <v>8.0675760984616539E-4</v>
      </c>
      <c r="AP38" s="37">
        <f t="shared" si="15"/>
        <v>0.19946250000000001</v>
      </c>
      <c r="AQ38" s="40">
        <f t="shared" si="16"/>
        <v>1.0800000000000001E-2</v>
      </c>
      <c r="AR38" s="39">
        <f t="shared" si="24"/>
        <v>0.93958651231290968</v>
      </c>
      <c r="AS38" s="37">
        <f t="shared" si="25"/>
        <v>12.400000000000002</v>
      </c>
      <c r="AT38" s="40">
        <f t="shared" si="26"/>
        <v>92.956404522391765</v>
      </c>
    </row>
    <row r="39" spans="17:46" x14ac:dyDescent="0.25">
      <c r="Q39">
        <v>32</v>
      </c>
      <c r="R39" s="39">
        <f t="shared" si="0"/>
        <v>30</v>
      </c>
      <c r="S39" s="37">
        <f t="shared" ref="S39:S70" si="30">Q39*$O$12</f>
        <v>0.42666666666666669</v>
      </c>
      <c r="T39" s="37">
        <f t="shared" si="2"/>
        <v>24</v>
      </c>
      <c r="U39" s="40">
        <f t="shared" ref="U39:U70" si="31">(R39*S39)/(T39*EFF_est)</f>
        <v>0.59259259259259256</v>
      </c>
      <c r="V39" s="39">
        <f t="shared" ref="V39:V70" si="32">IF((S39*R39/T39)&lt;((T39*(1-(T39/R39)))/(2*Lm*Fsw)),1,2)</f>
        <v>2</v>
      </c>
      <c r="W39" s="37">
        <f t="shared" ref="W39:W70" si="33">CHOOSE(V39,SQRT((2*S39*Lm*Fsw*(R39-T39))/((T39)^2)),1-(T39/R39))</f>
        <v>0.19999999999999996</v>
      </c>
      <c r="X39" s="40">
        <f t="shared" ref="X39:X70" si="34">CHOOSE(V39,(Lm*W39*Fsw)/(R39-T39),1-W39)</f>
        <v>0.8</v>
      </c>
      <c r="Y39" s="39">
        <f t="shared" ref="Y39:Y70" si="35">(T39*W39)/(Lm*Fsw)</f>
        <v>0.94117647058823517</v>
      </c>
      <c r="Z39" s="37">
        <f t="shared" si="28"/>
        <v>1.0631808278867101</v>
      </c>
      <c r="AA39" s="37">
        <f t="shared" si="29"/>
        <v>0.65190777200052441</v>
      </c>
      <c r="AB39" s="37">
        <v>0</v>
      </c>
      <c r="AC39" s="37">
        <f t="shared" ref="AC39:AC70" si="36">(AA39^2)*Rdcr</f>
        <v>8.4996748638937556E-3</v>
      </c>
      <c r="AD39" s="40">
        <f t="shared" si="19"/>
        <v>8.4996748638937556E-3</v>
      </c>
      <c r="AE39" s="39">
        <f t="shared" si="27"/>
        <v>0.11851851851851848</v>
      </c>
      <c r="AF39" s="37">
        <f t="shared" si="20"/>
        <v>0.29154201865072127</v>
      </c>
      <c r="AG39" s="37">
        <f t="shared" ref="AG39:AG70" si="37">(AF39^2)*RDS_on</f>
        <v>3.9098504373911254E-4</v>
      </c>
      <c r="AH39" s="37">
        <f t="shared" ref="AH39:AH70" si="38">((R39*U39)/2)*Fsw*(tr_sw+tf_sw)</f>
        <v>0.25909185731173073</v>
      </c>
      <c r="AI39" s="40">
        <f t="shared" si="21"/>
        <v>0.25948284235546987</v>
      </c>
      <c r="AJ39" s="39">
        <f t="shared" si="22"/>
        <v>0.47407407407407409</v>
      </c>
      <c r="AK39" s="37">
        <f t="shared" ref="AK39:AK70" si="39">CHOOSE(V39,Z39*SQRT(X39/3),SQRT(X39*((Z39^2)+((Y39^2)/3)-(Y39*Z39))))</f>
        <v>0.58308403730144265</v>
      </c>
      <c r="AL39" s="37">
        <f t="shared" ref="AL39:AL70" si="40">S39*Vd_rect</f>
        <v>0.24746666666666667</v>
      </c>
      <c r="AM39" s="37">
        <f t="shared" ref="AM39:AM70" si="41">CHOOSE(V39,(R39+Vd_rect)*Qrr*Fsw,(R39+Vd_rect)*Qrr*Fsw)</f>
        <v>0.22935</v>
      </c>
      <c r="AN39" s="40">
        <f t="shared" si="23"/>
        <v>0.47681666666666667</v>
      </c>
      <c r="AO39" s="39">
        <f t="shared" ref="AO39:AO70" si="42">(AF39^2)*R_cs</f>
        <v>8.4996748638937515E-4</v>
      </c>
      <c r="AP39" s="37">
        <f t="shared" ref="AP39:AP70" si="43">Qg_tot*Vcc*Fsw</f>
        <v>0.19946250000000001</v>
      </c>
      <c r="AQ39" s="40">
        <f t="shared" ref="AQ39:AQ70" si="44">IQ*T39</f>
        <v>1.0800000000000001E-2</v>
      </c>
      <c r="AR39" s="39">
        <f t="shared" si="24"/>
        <v>0.95591165137241974</v>
      </c>
      <c r="AS39" s="37">
        <f t="shared" si="25"/>
        <v>12.8</v>
      </c>
      <c r="AT39" s="40">
        <f t="shared" si="26"/>
        <v>93.050902945592497</v>
      </c>
    </row>
    <row r="40" spans="17:46" x14ac:dyDescent="0.25">
      <c r="Q40">
        <v>33</v>
      </c>
      <c r="R40" s="39">
        <f t="shared" si="0"/>
        <v>30</v>
      </c>
      <c r="S40" s="37">
        <f t="shared" si="30"/>
        <v>0.44</v>
      </c>
      <c r="T40" s="37">
        <f t="shared" si="2"/>
        <v>24</v>
      </c>
      <c r="U40" s="40">
        <f t="shared" si="31"/>
        <v>0.61111111111111105</v>
      </c>
      <c r="V40" s="39">
        <f t="shared" si="32"/>
        <v>2</v>
      </c>
      <c r="W40" s="37">
        <f t="shared" si="33"/>
        <v>0.19999999999999996</v>
      </c>
      <c r="X40" s="40">
        <f t="shared" si="34"/>
        <v>0.8</v>
      </c>
      <c r="Y40" s="39">
        <f t="shared" si="35"/>
        <v>0.94117647058823517</v>
      </c>
      <c r="Z40" s="37">
        <f t="shared" si="28"/>
        <v>1.0816993464052287</v>
      </c>
      <c r="AA40" s="37">
        <f t="shared" si="29"/>
        <v>0.66878587942818735</v>
      </c>
      <c r="AB40" s="37">
        <v>0</v>
      </c>
      <c r="AC40" s="37">
        <f t="shared" si="36"/>
        <v>8.94549105045068E-3</v>
      </c>
      <c r="AD40" s="40">
        <f t="shared" si="19"/>
        <v>8.94549105045068E-3</v>
      </c>
      <c r="AE40" s="39">
        <f t="shared" si="27"/>
        <v>0.12222222222222218</v>
      </c>
      <c r="AF40" s="37">
        <f t="shared" si="20"/>
        <v>0.29909013775868104</v>
      </c>
      <c r="AG40" s="37">
        <f t="shared" si="37"/>
        <v>4.1149258832073128E-4</v>
      </c>
      <c r="AH40" s="37">
        <f t="shared" si="38"/>
        <v>0.26718847785272232</v>
      </c>
      <c r="AI40" s="40">
        <f t="shared" si="21"/>
        <v>0.26759997044104306</v>
      </c>
      <c r="AJ40" s="39">
        <f t="shared" si="22"/>
        <v>0.48888888888888887</v>
      </c>
      <c r="AK40" s="37">
        <f t="shared" si="39"/>
        <v>0.59818027551736219</v>
      </c>
      <c r="AL40" s="37">
        <f t="shared" si="40"/>
        <v>0.25519999999999998</v>
      </c>
      <c r="AM40" s="37">
        <f t="shared" si="41"/>
        <v>0.22935</v>
      </c>
      <c r="AN40" s="40">
        <f t="shared" si="23"/>
        <v>0.48454999999999998</v>
      </c>
      <c r="AO40" s="39">
        <f t="shared" si="42"/>
        <v>8.9454910504506793E-4</v>
      </c>
      <c r="AP40" s="37">
        <f t="shared" si="43"/>
        <v>0.19946250000000001</v>
      </c>
      <c r="AQ40" s="40">
        <f t="shared" si="44"/>
        <v>1.0800000000000001E-2</v>
      </c>
      <c r="AR40" s="39">
        <f t="shared" si="24"/>
        <v>0.97225251059653883</v>
      </c>
      <c r="AS40" s="37">
        <f t="shared" si="25"/>
        <v>13.2</v>
      </c>
      <c r="AT40" s="40">
        <f t="shared" si="26"/>
        <v>93.139746064575206</v>
      </c>
    </row>
    <row r="41" spans="17:46" x14ac:dyDescent="0.25">
      <c r="Q41">
        <v>34</v>
      </c>
      <c r="R41" s="39">
        <f t="shared" si="0"/>
        <v>30</v>
      </c>
      <c r="S41" s="37">
        <f t="shared" si="30"/>
        <v>0.45333333333333337</v>
      </c>
      <c r="T41" s="37">
        <f t="shared" si="2"/>
        <v>24</v>
      </c>
      <c r="U41" s="40">
        <f t="shared" si="31"/>
        <v>0.62962962962962965</v>
      </c>
      <c r="V41" s="39">
        <f t="shared" si="32"/>
        <v>2</v>
      </c>
      <c r="W41" s="37">
        <f t="shared" si="33"/>
        <v>0.19999999999999996</v>
      </c>
      <c r="X41" s="40">
        <f t="shared" si="34"/>
        <v>0.8</v>
      </c>
      <c r="Y41" s="39">
        <f t="shared" si="35"/>
        <v>0.94117647058823517</v>
      </c>
      <c r="Z41" s="37">
        <f t="shared" si="28"/>
        <v>1.1002178649237473</v>
      </c>
      <c r="AA41" s="37">
        <f t="shared" si="29"/>
        <v>0.68574866598967721</v>
      </c>
      <c r="AB41" s="37">
        <v>0</v>
      </c>
      <c r="AC41" s="37">
        <f t="shared" si="36"/>
        <v>9.4050246581324371E-3</v>
      </c>
      <c r="AD41" s="40">
        <f t="shared" si="19"/>
        <v>9.4050246581324371E-3</v>
      </c>
      <c r="AE41" s="39">
        <f t="shared" si="27"/>
        <v>0.12592592592592591</v>
      </c>
      <c r="AF41" s="37">
        <f t="shared" si="20"/>
        <v>0.30667612652654325</v>
      </c>
      <c r="AG41" s="37">
        <f t="shared" si="37"/>
        <v>4.3263113427409206E-4</v>
      </c>
      <c r="AH41" s="37">
        <f t="shared" si="38"/>
        <v>0.2752850983937139</v>
      </c>
      <c r="AI41" s="40">
        <f t="shared" si="21"/>
        <v>0.27571772952798801</v>
      </c>
      <c r="AJ41" s="39">
        <f t="shared" si="22"/>
        <v>0.50370370370370376</v>
      </c>
      <c r="AK41" s="37">
        <f t="shared" si="39"/>
        <v>0.6133522530530866</v>
      </c>
      <c r="AL41" s="37">
        <f t="shared" si="40"/>
        <v>0.26293333333333335</v>
      </c>
      <c r="AM41" s="37">
        <f t="shared" si="41"/>
        <v>0.22935</v>
      </c>
      <c r="AN41" s="40">
        <f t="shared" si="23"/>
        <v>0.49228333333333335</v>
      </c>
      <c r="AO41" s="39">
        <f t="shared" si="42"/>
        <v>9.4050246581324373E-4</v>
      </c>
      <c r="AP41" s="37">
        <f t="shared" si="43"/>
        <v>0.19946250000000001</v>
      </c>
      <c r="AQ41" s="40">
        <f t="shared" si="44"/>
        <v>1.0800000000000001E-2</v>
      </c>
      <c r="AR41" s="39">
        <f t="shared" si="24"/>
        <v>0.98860908998526698</v>
      </c>
      <c r="AS41" s="37">
        <f t="shared" si="25"/>
        <v>13.600000000000001</v>
      </c>
      <c r="AT41" s="40">
        <f t="shared" si="26"/>
        <v>93.22341777829989</v>
      </c>
    </row>
    <row r="42" spans="17:46" x14ac:dyDescent="0.25">
      <c r="Q42">
        <v>35</v>
      </c>
      <c r="R42" s="39">
        <f t="shared" si="0"/>
        <v>30</v>
      </c>
      <c r="S42" s="37">
        <f t="shared" si="30"/>
        <v>0.46666666666666667</v>
      </c>
      <c r="T42" s="37">
        <f t="shared" si="2"/>
        <v>24</v>
      </c>
      <c r="U42" s="40">
        <f t="shared" si="31"/>
        <v>0.64814814814814814</v>
      </c>
      <c r="V42" s="39">
        <f t="shared" si="32"/>
        <v>2</v>
      </c>
      <c r="W42" s="37">
        <f t="shared" si="33"/>
        <v>0.19999999999999996</v>
      </c>
      <c r="X42" s="40">
        <f t="shared" si="34"/>
        <v>0.8</v>
      </c>
      <c r="Y42" s="39">
        <f t="shared" si="35"/>
        <v>0.94117647058823517</v>
      </c>
      <c r="Z42" s="37">
        <f t="shared" si="28"/>
        <v>1.1187363834422657</v>
      </c>
      <c r="AA42" s="37">
        <f t="shared" si="29"/>
        <v>0.70279000017569337</v>
      </c>
      <c r="AB42" s="37">
        <v>0</v>
      </c>
      <c r="AC42" s="37">
        <f t="shared" si="36"/>
        <v>9.8782756869390219E-3</v>
      </c>
      <c r="AD42" s="40">
        <f t="shared" si="19"/>
        <v>9.8782756869390219E-3</v>
      </c>
      <c r="AE42" s="39">
        <f t="shared" si="27"/>
        <v>0.12962962962962959</v>
      </c>
      <c r="AF42" s="37">
        <f t="shared" si="20"/>
        <v>0.31429724285998789</v>
      </c>
      <c r="AG42" s="37">
        <f t="shared" si="37"/>
        <v>4.5440068159919499E-4</v>
      </c>
      <c r="AH42" s="37">
        <f t="shared" si="38"/>
        <v>0.28338171893470548</v>
      </c>
      <c r="AI42" s="40">
        <f t="shared" si="21"/>
        <v>0.28383611961630467</v>
      </c>
      <c r="AJ42" s="39">
        <f t="shared" si="22"/>
        <v>0.51851851851851849</v>
      </c>
      <c r="AK42" s="37">
        <f t="shared" si="39"/>
        <v>0.62859448571997589</v>
      </c>
      <c r="AL42" s="37">
        <f t="shared" si="40"/>
        <v>0.27066666666666667</v>
      </c>
      <c r="AM42" s="37">
        <f t="shared" si="41"/>
        <v>0.22935</v>
      </c>
      <c r="AN42" s="40">
        <f t="shared" si="23"/>
        <v>0.50001666666666666</v>
      </c>
      <c r="AO42" s="39">
        <f t="shared" si="42"/>
        <v>9.8782756869390223E-4</v>
      </c>
      <c r="AP42" s="37">
        <f t="shared" si="43"/>
        <v>0.19946250000000001</v>
      </c>
      <c r="AQ42" s="40">
        <f t="shared" si="44"/>
        <v>1.0800000000000001E-2</v>
      </c>
      <c r="AR42" s="39">
        <f t="shared" si="24"/>
        <v>1.0049813895386042</v>
      </c>
      <c r="AS42" s="37">
        <f t="shared" si="25"/>
        <v>14</v>
      </c>
      <c r="AT42" s="40">
        <f t="shared" si="26"/>
        <v>93.302348310546563</v>
      </c>
    </row>
    <row r="43" spans="17:46" x14ac:dyDescent="0.25">
      <c r="Q43">
        <v>36</v>
      </c>
      <c r="R43" s="39">
        <f t="shared" si="0"/>
        <v>30</v>
      </c>
      <c r="S43" s="37">
        <f t="shared" si="30"/>
        <v>0.48000000000000004</v>
      </c>
      <c r="T43" s="37">
        <f t="shared" si="2"/>
        <v>24</v>
      </c>
      <c r="U43" s="40">
        <f t="shared" si="31"/>
        <v>0.66666666666666663</v>
      </c>
      <c r="V43" s="39">
        <f t="shared" si="32"/>
        <v>2</v>
      </c>
      <c r="W43" s="37">
        <f t="shared" si="33"/>
        <v>0.19999999999999996</v>
      </c>
      <c r="X43" s="40">
        <f t="shared" si="34"/>
        <v>0.8</v>
      </c>
      <c r="Y43" s="39">
        <f t="shared" si="35"/>
        <v>0.94117647058823517</v>
      </c>
      <c r="Z43" s="37">
        <f t="shared" si="28"/>
        <v>1.1372549019607843</v>
      </c>
      <c r="AA43" s="37">
        <f t="shared" si="29"/>
        <v>0.7199043039484635</v>
      </c>
      <c r="AB43" s="37">
        <v>0</v>
      </c>
      <c r="AC43" s="37">
        <f t="shared" si="36"/>
        <v>1.0365244136870436E-2</v>
      </c>
      <c r="AD43" s="40">
        <f t="shared" si="19"/>
        <v>1.0365244136870436E-2</v>
      </c>
      <c r="AE43" s="39">
        <f t="shared" si="27"/>
        <v>0.1333333333333333</v>
      </c>
      <c r="AF43" s="37">
        <f t="shared" si="20"/>
        <v>0.32195099218468687</v>
      </c>
      <c r="AG43" s="37">
        <f t="shared" si="37"/>
        <v>4.7680123029603978E-4</v>
      </c>
      <c r="AH43" s="37">
        <f t="shared" si="38"/>
        <v>0.29147833947569707</v>
      </c>
      <c r="AI43" s="40">
        <f t="shared" si="21"/>
        <v>0.2919551407059931</v>
      </c>
      <c r="AJ43" s="39">
        <f t="shared" si="22"/>
        <v>0.53333333333333333</v>
      </c>
      <c r="AK43" s="37">
        <f t="shared" si="39"/>
        <v>0.64390198436937385</v>
      </c>
      <c r="AL43" s="37">
        <f t="shared" si="40"/>
        <v>0.27839999999999998</v>
      </c>
      <c r="AM43" s="37">
        <f t="shared" si="41"/>
        <v>0.22935</v>
      </c>
      <c r="AN43" s="40">
        <f t="shared" si="23"/>
        <v>0.50774999999999992</v>
      </c>
      <c r="AO43" s="39">
        <f t="shared" si="42"/>
        <v>1.036524413687043E-3</v>
      </c>
      <c r="AP43" s="37">
        <f t="shared" si="43"/>
        <v>0.19946250000000001</v>
      </c>
      <c r="AQ43" s="40">
        <f t="shared" si="44"/>
        <v>1.0800000000000001E-2</v>
      </c>
      <c r="AR43" s="39">
        <f t="shared" si="24"/>
        <v>1.0213694092565506</v>
      </c>
      <c r="AS43" s="37">
        <f t="shared" si="25"/>
        <v>14.4</v>
      </c>
      <c r="AT43" s="40">
        <f t="shared" si="26"/>
        <v>93.376921451324023</v>
      </c>
    </row>
    <row r="44" spans="17:46" x14ac:dyDescent="0.25">
      <c r="Q44">
        <v>37</v>
      </c>
      <c r="R44" s="39">
        <f t="shared" si="0"/>
        <v>30</v>
      </c>
      <c r="S44" s="37">
        <f t="shared" si="30"/>
        <v>0.49333333333333335</v>
      </c>
      <c r="T44" s="37">
        <f t="shared" si="2"/>
        <v>24</v>
      </c>
      <c r="U44" s="40">
        <f t="shared" si="31"/>
        <v>0.68518518518518512</v>
      </c>
      <c r="V44" s="39">
        <f t="shared" si="32"/>
        <v>2</v>
      </c>
      <c r="W44" s="37">
        <f t="shared" si="33"/>
        <v>0.19999999999999996</v>
      </c>
      <c r="X44" s="40">
        <f t="shared" si="34"/>
        <v>0.8</v>
      </c>
      <c r="Y44" s="39">
        <f t="shared" si="35"/>
        <v>0.94117647058823517</v>
      </c>
      <c r="Z44" s="37">
        <f t="shared" si="28"/>
        <v>1.1557734204793026</v>
      </c>
      <c r="AA44" s="37">
        <f t="shared" si="29"/>
        <v>0.73708649451494745</v>
      </c>
      <c r="AB44" s="37">
        <v>0</v>
      </c>
      <c r="AC44" s="37">
        <f t="shared" si="36"/>
        <v>1.0865930007926674E-2</v>
      </c>
      <c r="AD44" s="40">
        <f t="shared" si="19"/>
        <v>1.0865930007926674E-2</v>
      </c>
      <c r="AE44" s="39">
        <f t="shared" si="27"/>
        <v>0.13703703703703699</v>
      </c>
      <c r="AF44" s="37">
        <f t="shared" si="20"/>
        <v>0.32963510140648966</v>
      </c>
      <c r="AG44" s="37">
        <f t="shared" si="37"/>
        <v>4.9983278036462694E-4</v>
      </c>
      <c r="AH44" s="37">
        <f t="shared" si="38"/>
        <v>0.29957496001668865</v>
      </c>
      <c r="AI44" s="40">
        <f t="shared" si="21"/>
        <v>0.30007479279705329</v>
      </c>
      <c r="AJ44" s="39">
        <f t="shared" si="22"/>
        <v>0.54814814814814816</v>
      </c>
      <c r="AK44" s="37">
        <f t="shared" si="39"/>
        <v>0.65927020281297943</v>
      </c>
      <c r="AL44" s="37">
        <f t="shared" si="40"/>
        <v>0.2861333333333333</v>
      </c>
      <c r="AM44" s="37">
        <f t="shared" si="41"/>
        <v>0.22935</v>
      </c>
      <c r="AN44" s="40">
        <f t="shared" si="23"/>
        <v>0.51548333333333329</v>
      </c>
      <c r="AO44" s="39">
        <f t="shared" si="42"/>
        <v>1.0865930007926672E-3</v>
      </c>
      <c r="AP44" s="37">
        <f t="shared" si="43"/>
        <v>0.19946250000000001</v>
      </c>
      <c r="AQ44" s="40">
        <f t="shared" si="44"/>
        <v>1.0800000000000001E-2</v>
      </c>
      <c r="AR44" s="39">
        <f t="shared" si="24"/>
        <v>1.0377731491391058</v>
      </c>
      <c r="AS44" s="37">
        <f t="shared" si="25"/>
        <v>14.8</v>
      </c>
      <c r="AT44" s="40">
        <f t="shared" si="26"/>
        <v>93.447480656739188</v>
      </c>
    </row>
    <row r="45" spans="17:46" x14ac:dyDescent="0.25">
      <c r="Q45">
        <v>38</v>
      </c>
      <c r="R45" s="39">
        <f t="shared" si="0"/>
        <v>30</v>
      </c>
      <c r="S45" s="37">
        <f t="shared" si="30"/>
        <v>0.50666666666666671</v>
      </c>
      <c r="T45" s="37">
        <f t="shared" si="2"/>
        <v>24</v>
      </c>
      <c r="U45" s="40">
        <f t="shared" si="31"/>
        <v>0.70370370370370372</v>
      </c>
      <c r="V45" s="39">
        <f t="shared" si="32"/>
        <v>2</v>
      </c>
      <c r="W45" s="37">
        <f t="shared" si="33"/>
        <v>0.19999999999999996</v>
      </c>
      <c r="X45" s="40">
        <f t="shared" si="34"/>
        <v>0.8</v>
      </c>
      <c r="Y45" s="39">
        <f t="shared" si="35"/>
        <v>0.94117647058823517</v>
      </c>
      <c r="Z45" s="37">
        <f t="shared" si="28"/>
        <v>1.1742919389978212</v>
      </c>
      <c r="AA45" s="37">
        <f t="shared" si="29"/>
        <v>0.75433193290844269</v>
      </c>
      <c r="AB45" s="37">
        <v>0</v>
      </c>
      <c r="AC45" s="37">
        <f t="shared" si="36"/>
        <v>1.1380333300107745E-2</v>
      </c>
      <c r="AD45" s="40">
        <f t="shared" si="19"/>
        <v>1.1380333300107745E-2</v>
      </c>
      <c r="AE45" s="39">
        <f t="shared" si="27"/>
        <v>0.14074074074074072</v>
      </c>
      <c r="AF45" s="37">
        <f t="shared" si="20"/>
        <v>0.33734749591641772</v>
      </c>
      <c r="AG45" s="37">
        <f t="shared" si="37"/>
        <v>5.2349533180495636E-4</v>
      </c>
      <c r="AH45" s="37">
        <f t="shared" si="38"/>
        <v>0.30767158055768029</v>
      </c>
      <c r="AI45" s="40">
        <f t="shared" si="21"/>
        <v>0.30819507588948525</v>
      </c>
      <c r="AJ45" s="39">
        <f t="shared" si="22"/>
        <v>0.562962962962963</v>
      </c>
      <c r="AK45" s="37">
        <f t="shared" si="39"/>
        <v>0.67469499183283543</v>
      </c>
      <c r="AL45" s="37">
        <f t="shared" si="40"/>
        <v>0.29386666666666666</v>
      </c>
      <c r="AM45" s="37">
        <f t="shared" si="41"/>
        <v>0.22935</v>
      </c>
      <c r="AN45" s="40">
        <f t="shared" si="23"/>
        <v>0.52321666666666666</v>
      </c>
      <c r="AO45" s="39">
        <f t="shared" si="42"/>
        <v>1.1380333300107747E-3</v>
      </c>
      <c r="AP45" s="37">
        <f t="shared" si="43"/>
        <v>0.19946250000000001</v>
      </c>
      <c r="AQ45" s="40">
        <f t="shared" si="44"/>
        <v>1.0800000000000001E-2</v>
      </c>
      <c r="AR45" s="39">
        <f t="shared" si="24"/>
        <v>1.0541926091862703</v>
      </c>
      <c r="AS45" s="37">
        <f t="shared" si="25"/>
        <v>15.200000000000001</v>
      </c>
      <c r="AT45" s="40">
        <f t="shared" si="26"/>
        <v>93.514334211897548</v>
      </c>
    </row>
    <row r="46" spans="17:46" x14ac:dyDescent="0.25">
      <c r="Q46">
        <v>39</v>
      </c>
      <c r="R46" s="39">
        <f t="shared" si="0"/>
        <v>30</v>
      </c>
      <c r="S46" s="37">
        <f t="shared" si="30"/>
        <v>0.52</v>
      </c>
      <c r="T46" s="37">
        <f t="shared" si="2"/>
        <v>24</v>
      </c>
      <c r="U46" s="40">
        <f t="shared" si="31"/>
        <v>0.72222222222222221</v>
      </c>
      <c r="V46" s="39">
        <f t="shared" si="32"/>
        <v>2</v>
      </c>
      <c r="W46" s="37">
        <f t="shared" si="33"/>
        <v>0.19999999999999996</v>
      </c>
      <c r="X46" s="40">
        <f t="shared" si="34"/>
        <v>0.8</v>
      </c>
      <c r="Y46" s="39">
        <f t="shared" si="35"/>
        <v>0.94117647058823517</v>
      </c>
      <c r="Z46" s="37">
        <f t="shared" si="28"/>
        <v>1.1928104575163399</v>
      </c>
      <c r="AA46" s="37">
        <f t="shared" si="29"/>
        <v>0.77163637852986311</v>
      </c>
      <c r="AB46" s="37">
        <v>0</v>
      </c>
      <c r="AC46" s="37">
        <f t="shared" si="36"/>
        <v>1.1908454013413644E-2</v>
      </c>
      <c r="AD46" s="40">
        <f t="shared" si="19"/>
        <v>1.1908454013413644E-2</v>
      </c>
      <c r="AE46" s="39">
        <f t="shared" si="27"/>
        <v>0.1444444444444444</v>
      </c>
      <c r="AF46" s="37">
        <f t="shared" si="20"/>
        <v>0.34508627926090663</v>
      </c>
      <c r="AG46" s="37">
        <f t="shared" si="37"/>
        <v>5.4778888461702764E-4</v>
      </c>
      <c r="AH46" s="37">
        <f t="shared" si="38"/>
        <v>0.31576820109867182</v>
      </c>
      <c r="AI46" s="40">
        <f t="shared" si="21"/>
        <v>0.31631598998328886</v>
      </c>
      <c r="AJ46" s="39">
        <f t="shared" si="22"/>
        <v>0.57777777777777783</v>
      </c>
      <c r="AK46" s="37">
        <f t="shared" si="39"/>
        <v>0.69017255852181336</v>
      </c>
      <c r="AL46" s="37">
        <f t="shared" si="40"/>
        <v>0.30159999999999998</v>
      </c>
      <c r="AM46" s="37">
        <f t="shared" si="41"/>
        <v>0.22935</v>
      </c>
      <c r="AN46" s="40">
        <f t="shared" si="23"/>
        <v>0.53095000000000003</v>
      </c>
      <c r="AO46" s="39">
        <f t="shared" si="42"/>
        <v>1.1908454013413645E-3</v>
      </c>
      <c r="AP46" s="37">
        <f t="shared" si="43"/>
        <v>0.19946250000000001</v>
      </c>
      <c r="AQ46" s="40">
        <f t="shared" si="44"/>
        <v>1.0800000000000001E-2</v>
      </c>
      <c r="AR46" s="39">
        <f t="shared" si="24"/>
        <v>1.0706277893980438</v>
      </c>
      <c r="AS46" s="37">
        <f t="shared" si="25"/>
        <v>15.600000000000001</v>
      </c>
      <c r="AT46" s="40">
        <f t="shared" si="26"/>
        <v>93.577759620552939</v>
      </c>
    </row>
    <row r="47" spans="17:46" x14ac:dyDescent="0.25">
      <c r="Q47">
        <v>40</v>
      </c>
      <c r="R47" s="39">
        <f t="shared" si="0"/>
        <v>30</v>
      </c>
      <c r="S47" s="37">
        <f t="shared" si="30"/>
        <v>0.53333333333333333</v>
      </c>
      <c r="T47" s="37">
        <f t="shared" si="2"/>
        <v>24</v>
      </c>
      <c r="U47" s="40">
        <f t="shared" si="31"/>
        <v>0.7407407407407407</v>
      </c>
      <c r="V47" s="39">
        <f t="shared" si="32"/>
        <v>2</v>
      </c>
      <c r="W47" s="37">
        <f t="shared" si="33"/>
        <v>0.19999999999999996</v>
      </c>
      <c r="X47" s="40">
        <f t="shared" si="34"/>
        <v>0.8</v>
      </c>
      <c r="Y47" s="39">
        <f t="shared" si="35"/>
        <v>0.94117647058823517</v>
      </c>
      <c r="Z47" s="37">
        <f t="shared" si="28"/>
        <v>1.2113289760348582</v>
      </c>
      <c r="AA47" s="37">
        <f t="shared" si="29"/>
        <v>0.78899594890735558</v>
      </c>
      <c r="AB47" s="37">
        <v>0</v>
      </c>
      <c r="AC47" s="37">
        <f t="shared" si="36"/>
        <v>1.2450292147844369E-2</v>
      </c>
      <c r="AD47" s="40">
        <f t="shared" si="19"/>
        <v>1.2450292147844369E-2</v>
      </c>
      <c r="AE47" s="39">
        <f t="shared" si="27"/>
        <v>0.14814814814814811</v>
      </c>
      <c r="AF47" s="37">
        <f t="shared" si="20"/>
        <v>0.35284971514575958</v>
      </c>
      <c r="AG47" s="37">
        <f t="shared" si="37"/>
        <v>5.7271343880084091E-4</v>
      </c>
      <c r="AH47" s="37">
        <f t="shared" si="38"/>
        <v>0.3238648216396634</v>
      </c>
      <c r="AI47" s="40">
        <f t="shared" si="21"/>
        <v>0.32443753507846423</v>
      </c>
      <c r="AJ47" s="39">
        <f t="shared" si="22"/>
        <v>0.59259259259259256</v>
      </c>
      <c r="AK47" s="37">
        <f t="shared" si="39"/>
        <v>0.70569943029151927</v>
      </c>
      <c r="AL47" s="37">
        <f t="shared" si="40"/>
        <v>0.30933333333333329</v>
      </c>
      <c r="AM47" s="37">
        <f t="shared" si="41"/>
        <v>0.22935</v>
      </c>
      <c r="AN47" s="40">
        <f t="shared" si="23"/>
        <v>0.53868333333333329</v>
      </c>
      <c r="AO47" s="39">
        <f t="shared" si="42"/>
        <v>1.2450292147844367E-3</v>
      </c>
      <c r="AP47" s="37">
        <f t="shared" si="43"/>
        <v>0.19946250000000001</v>
      </c>
      <c r="AQ47" s="40">
        <f t="shared" si="44"/>
        <v>1.0800000000000001E-2</v>
      </c>
      <c r="AR47" s="39">
        <f t="shared" si="24"/>
        <v>1.0870786897744262</v>
      </c>
      <c r="AS47" s="37">
        <f t="shared" si="25"/>
        <v>16</v>
      </c>
      <c r="AT47" s="40">
        <f t="shared" si="26"/>
        <v>93.638007353328476</v>
      </c>
    </row>
    <row r="48" spans="17:46" x14ac:dyDescent="0.25">
      <c r="Q48">
        <v>41</v>
      </c>
      <c r="R48" s="39">
        <f t="shared" si="0"/>
        <v>30</v>
      </c>
      <c r="S48" s="37">
        <f t="shared" si="30"/>
        <v>0.54666666666666675</v>
      </c>
      <c r="T48" s="37">
        <f t="shared" si="2"/>
        <v>24</v>
      </c>
      <c r="U48" s="40">
        <f t="shared" si="31"/>
        <v>0.7592592592592593</v>
      </c>
      <c r="V48" s="39">
        <f t="shared" si="32"/>
        <v>2</v>
      </c>
      <c r="W48" s="37">
        <f t="shared" si="33"/>
        <v>0.19999999999999996</v>
      </c>
      <c r="X48" s="40">
        <f t="shared" si="34"/>
        <v>0.8</v>
      </c>
      <c r="Y48" s="39">
        <f t="shared" si="35"/>
        <v>0.94117647058823517</v>
      </c>
      <c r="Z48" s="37">
        <f t="shared" si="28"/>
        <v>1.2298474945533768</v>
      </c>
      <c r="AA48" s="37">
        <f t="shared" si="29"/>
        <v>0.8064070840276617</v>
      </c>
      <c r="AB48" s="37">
        <v>0</v>
      </c>
      <c r="AC48" s="37">
        <f t="shared" si="36"/>
        <v>1.3005847703399924E-2</v>
      </c>
      <c r="AD48" s="40">
        <f t="shared" si="19"/>
        <v>1.3005847703399924E-2</v>
      </c>
      <c r="AE48" s="39">
        <f t="shared" si="27"/>
        <v>0.15185185185185182</v>
      </c>
      <c r="AF48" s="37">
        <f t="shared" si="20"/>
        <v>0.36063621148464731</v>
      </c>
      <c r="AG48" s="37">
        <f t="shared" si="37"/>
        <v>5.9826899435639659E-4</v>
      </c>
      <c r="AH48" s="37">
        <f t="shared" si="38"/>
        <v>0.33196144218065499</v>
      </c>
      <c r="AI48" s="40">
        <f t="shared" si="21"/>
        <v>0.33255971117501137</v>
      </c>
      <c r="AJ48" s="39">
        <f t="shared" si="22"/>
        <v>0.60740740740740751</v>
      </c>
      <c r="AK48" s="37">
        <f t="shared" si="39"/>
        <v>0.72127242296929472</v>
      </c>
      <c r="AL48" s="37">
        <f t="shared" si="40"/>
        <v>0.31706666666666666</v>
      </c>
      <c r="AM48" s="37">
        <f t="shared" si="41"/>
        <v>0.22935</v>
      </c>
      <c r="AN48" s="40">
        <f t="shared" si="23"/>
        <v>0.54641666666666666</v>
      </c>
      <c r="AO48" s="39">
        <f t="shared" si="42"/>
        <v>1.3005847703399926E-3</v>
      </c>
      <c r="AP48" s="37">
        <f t="shared" si="43"/>
        <v>0.19946250000000001</v>
      </c>
      <c r="AQ48" s="40">
        <f t="shared" si="44"/>
        <v>1.0800000000000001E-2</v>
      </c>
      <c r="AR48" s="39">
        <f t="shared" si="24"/>
        <v>1.103545310315418</v>
      </c>
      <c r="AS48" s="37">
        <f t="shared" si="25"/>
        <v>16.400000000000002</v>
      </c>
      <c r="AT48" s="40">
        <f t="shared" si="26"/>
        <v>93.69530406125746</v>
      </c>
    </row>
    <row r="49" spans="17:46" x14ac:dyDescent="0.25">
      <c r="Q49">
        <v>42</v>
      </c>
      <c r="R49" s="39">
        <f t="shared" si="0"/>
        <v>30</v>
      </c>
      <c r="S49" s="37">
        <f t="shared" si="30"/>
        <v>0.56000000000000005</v>
      </c>
      <c r="T49" s="37">
        <f t="shared" si="2"/>
        <v>24</v>
      </c>
      <c r="U49" s="40">
        <f t="shared" si="31"/>
        <v>0.77777777777777779</v>
      </c>
      <c r="V49" s="39">
        <f t="shared" si="32"/>
        <v>2</v>
      </c>
      <c r="W49" s="37">
        <f t="shared" si="33"/>
        <v>0.19999999999999996</v>
      </c>
      <c r="X49" s="40">
        <f t="shared" si="34"/>
        <v>0.8</v>
      </c>
      <c r="Y49" s="39">
        <f t="shared" si="35"/>
        <v>0.94117647058823517</v>
      </c>
      <c r="Z49" s="37">
        <f t="shared" si="28"/>
        <v>1.2483660130718954</v>
      </c>
      <c r="AA49" s="37">
        <f t="shared" si="29"/>
        <v>0.82386651467577898</v>
      </c>
      <c r="AB49" s="37">
        <v>0</v>
      </c>
      <c r="AC49" s="37">
        <f t="shared" si="36"/>
        <v>1.3575120680080311E-2</v>
      </c>
      <c r="AD49" s="40">
        <f t="shared" si="19"/>
        <v>1.3575120680080311E-2</v>
      </c>
      <c r="AE49" s="39">
        <f t="shared" si="27"/>
        <v>0.15555555555555553</v>
      </c>
      <c r="AF49" s="37">
        <f t="shared" si="20"/>
        <v>0.36844430624017399</v>
      </c>
      <c r="AG49" s="37">
        <f t="shared" si="37"/>
        <v>6.2445555128369426E-4</v>
      </c>
      <c r="AH49" s="37">
        <f t="shared" si="38"/>
        <v>0.34005806272164663</v>
      </c>
      <c r="AI49" s="40">
        <f t="shared" si="21"/>
        <v>0.34068251827293033</v>
      </c>
      <c r="AJ49" s="39">
        <f t="shared" si="22"/>
        <v>0.62222222222222223</v>
      </c>
      <c r="AK49" s="37">
        <f t="shared" si="39"/>
        <v>0.73688861248034809</v>
      </c>
      <c r="AL49" s="37">
        <f t="shared" si="40"/>
        <v>0.32480000000000003</v>
      </c>
      <c r="AM49" s="37">
        <f t="shared" si="41"/>
        <v>0.22935</v>
      </c>
      <c r="AN49" s="40">
        <f t="shared" si="23"/>
        <v>0.55415000000000003</v>
      </c>
      <c r="AO49" s="39">
        <f t="shared" si="42"/>
        <v>1.357512068008031E-3</v>
      </c>
      <c r="AP49" s="37">
        <f t="shared" si="43"/>
        <v>0.19946250000000001</v>
      </c>
      <c r="AQ49" s="40">
        <f t="shared" si="44"/>
        <v>1.0800000000000001E-2</v>
      </c>
      <c r="AR49" s="39">
        <f t="shared" si="24"/>
        <v>1.1200276510210188</v>
      </c>
      <c r="AS49" s="37">
        <f t="shared" si="25"/>
        <v>16.8</v>
      </c>
      <c r="AT49" s="40">
        <f t="shared" si="26"/>
        <v>93.749855341561357</v>
      </c>
    </row>
    <row r="50" spans="17:46" x14ac:dyDescent="0.25">
      <c r="Q50">
        <v>43</v>
      </c>
      <c r="R50" s="39">
        <f t="shared" si="0"/>
        <v>30</v>
      </c>
      <c r="S50" s="37">
        <f t="shared" si="30"/>
        <v>0.57333333333333336</v>
      </c>
      <c r="T50" s="37">
        <f t="shared" si="2"/>
        <v>24</v>
      </c>
      <c r="U50" s="40">
        <f t="shared" si="31"/>
        <v>0.79629629629629617</v>
      </c>
      <c r="V50" s="39">
        <f t="shared" si="32"/>
        <v>2</v>
      </c>
      <c r="W50" s="37">
        <f t="shared" si="33"/>
        <v>0.19999999999999996</v>
      </c>
      <c r="X50" s="40">
        <f t="shared" si="34"/>
        <v>0.8</v>
      </c>
      <c r="Y50" s="39">
        <f t="shared" si="35"/>
        <v>0.94117647058823517</v>
      </c>
      <c r="Z50" s="37">
        <f t="shared" si="28"/>
        <v>1.2668845315904138</v>
      </c>
      <c r="AA50" s="37">
        <f t="shared" si="29"/>
        <v>0.84137123429213811</v>
      </c>
      <c r="AB50" s="37">
        <v>0</v>
      </c>
      <c r="AC50" s="37">
        <f t="shared" si="36"/>
        <v>1.415811107788552E-2</v>
      </c>
      <c r="AD50" s="40">
        <f t="shared" si="19"/>
        <v>1.415811107788552E-2</v>
      </c>
      <c r="AE50" s="39">
        <f t="shared" si="27"/>
        <v>0.15925925925925921</v>
      </c>
      <c r="AF50" s="37">
        <f t="shared" si="20"/>
        <v>0.37627265483802452</v>
      </c>
      <c r="AG50" s="37">
        <f t="shared" si="37"/>
        <v>6.5127310958273358E-4</v>
      </c>
      <c r="AH50" s="37">
        <f t="shared" si="38"/>
        <v>0.34815468326263815</v>
      </c>
      <c r="AI50" s="40">
        <f t="shared" si="21"/>
        <v>0.34880595637222089</v>
      </c>
      <c r="AJ50" s="39">
        <f t="shared" si="22"/>
        <v>0.63703703703703696</v>
      </c>
      <c r="AK50" s="37">
        <f t="shared" si="39"/>
        <v>0.75254530967604927</v>
      </c>
      <c r="AL50" s="37">
        <f t="shared" si="40"/>
        <v>0.33253333333333335</v>
      </c>
      <c r="AM50" s="37">
        <f t="shared" si="41"/>
        <v>0.22935</v>
      </c>
      <c r="AN50" s="40">
        <f t="shared" si="23"/>
        <v>0.56188333333333329</v>
      </c>
      <c r="AO50" s="39">
        <f t="shared" si="42"/>
        <v>1.4158111077885514E-3</v>
      </c>
      <c r="AP50" s="37">
        <f t="shared" si="43"/>
        <v>0.19946250000000001</v>
      </c>
      <c r="AQ50" s="40">
        <f t="shared" si="44"/>
        <v>1.0800000000000001E-2</v>
      </c>
      <c r="AR50" s="39">
        <f t="shared" si="24"/>
        <v>1.1365257118912282</v>
      </c>
      <c r="AS50" s="37">
        <f t="shared" si="25"/>
        <v>17.2</v>
      </c>
      <c r="AT50" s="40">
        <f t="shared" si="26"/>
        <v>93.801848126800863</v>
      </c>
    </row>
    <row r="51" spans="17:46" x14ac:dyDescent="0.25">
      <c r="Q51">
        <v>44</v>
      </c>
      <c r="R51" s="39">
        <f t="shared" si="0"/>
        <v>30</v>
      </c>
      <c r="S51" s="37">
        <f t="shared" si="30"/>
        <v>0.58666666666666667</v>
      </c>
      <c r="T51" s="37">
        <f t="shared" si="2"/>
        <v>24</v>
      </c>
      <c r="U51" s="40">
        <f t="shared" si="31"/>
        <v>0.81481481481481488</v>
      </c>
      <c r="V51" s="39">
        <f t="shared" si="32"/>
        <v>2</v>
      </c>
      <c r="W51" s="37">
        <f t="shared" si="33"/>
        <v>0.19999999999999996</v>
      </c>
      <c r="X51" s="40">
        <f t="shared" si="34"/>
        <v>0.8</v>
      </c>
      <c r="Y51" s="39">
        <f t="shared" si="35"/>
        <v>0.94117647058823517</v>
      </c>
      <c r="Z51" s="37">
        <f t="shared" si="28"/>
        <v>1.2854030501089324</v>
      </c>
      <c r="AA51" s="37">
        <f t="shared" si="29"/>
        <v>0.858918473919835</v>
      </c>
      <c r="AB51" s="37">
        <v>0</v>
      </c>
      <c r="AC51" s="37">
        <f t="shared" si="36"/>
        <v>1.4754818896815566E-2</v>
      </c>
      <c r="AD51" s="40">
        <f t="shared" si="19"/>
        <v>1.4754818896815566E-2</v>
      </c>
      <c r="AE51" s="39">
        <f t="shared" si="27"/>
        <v>0.16296296296296295</v>
      </c>
      <c r="AF51" s="37">
        <f t="shared" si="20"/>
        <v>0.38412001896302622</v>
      </c>
      <c r="AG51" s="37">
        <f t="shared" si="37"/>
        <v>6.7872166925351596E-4</v>
      </c>
      <c r="AH51" s="37">
        <f t="shared" si="38"/>
        <v>0.35625130380362979</v>
      </c>
      <c r="AI51" s="40">
        <f t="shared" si="21"/>
        <v>0.35693002547288333</v>
      </c>
      <c r="AJ51" s="39">
        <f t="shared" si="22"/>
        <v>0.6518518518518519</v>
      </c>
      <c r="AK51" s="37">
        <f t="shared" si="39"/>
        <v>0.76824003792605255</v>
      </c>
      <c r="AL51" s="37">
        <f t="shared" si="40"/>
        <v>0.34026666666666666</v>
      </c>
      <c r="AM51" s="37">
        <f t="shared" si="41"/>
        <v>0.22935</v>
      </c>
      <c r="AN51" s="40">
        <f t="shared" si="23"/>
        <v>0.56961666666666666</v>
      </c>
      <c r="AO51" s="39">
        <f t="shared" si="42"/>
        <v>1.4754818896815563E-3</v>
      </c>
      <c r="AP51" s="37">
        <f t="shared" si="43"/>
        <v>0.19946250000000001</v>
      </c>
      <c r="AQ51" s="40">
        <f t="shared" si="44"/>
        <v>1.0800000000000001E-2</v>
      </c>
      <c r="AR51" s="39">
        <f t="shared" si="24"/>
        <v>1.153039492926047</v>
      </c>
      <c r="AS51" s="37">
        <f t="shared" si="25"/>
        <v>17.600000000000001</v>
      </c>
      <c r="AT51" s="40">
        <f t="shared" si="26"/>
        <v>93.851452755906621</v>
      </c>
    </row>
    <row r="52" spans="17:46" x14ac:dyDescent="0.25">
      <c r="Q52">
        <v>45</v>
      </c>
      <c r="R52" s="39">
        <f t="shared" si="0"/>
        <v>30</v>
      </c>
      <c r="S52" s="37">
        <f t="shared" si="30"/>
        <v>0.60000000000000009</v>
      </c>
      <c r="T52" s="37">
        <f t="shared" si="2"/>
        <v>24</v>
      </c>
      <c r="U52" s="40">
        <f t="shared" si="31"/>
        <v>0.83333333333333348</v>
      </c>
      <c r="V52" s="39">
        <f t="shared" si="32"/>
        <v>2</v>
      </c>
      <c r="W52" s="37">
        <f t="shared" si="33"/>
        <v>0.19999999999999996</v>
      </c>
      <c r="X52" s="40">
        <f t="shared" si="34"/>
        <v>0.8</v>
      </c>
      <c r="Y52" s="39">
        <f t="shared" si="35"/>
        <v>0.94117647058823517</v>
      </c>
      <c r="Z52" s="37">
        <f t="shared" si="28"/>
        <v>1.303921568627451</v>
      </c>
      <c r="AA52" s="37">
        <f t="shared" si="29"/>
        <v>0.87650567986951566</v>
      </c>
      <c r="AB52" s="37">
        <v>0</v>
      </c>
      <c r="AC52" s="37">
        <f t="shared" si="36"/>
        <v>1.5365244136870437E-2</v>
      </c>
      <c r="AD52" s="40">
        <f t="shared" si="19"/>
        <v>1.5365244136870437E-2</v>
      </c>
      <c r="AE52" s="39">
        <f t="shared" si="27"/>
        <v>0.16666666666666666</v>
      </c>
      <c r="AF52" s="37">
        <f t="shared" si="20"/>
        <v>0.3919852565705812</v>
      </c>
      <c r="AG52" s="37">
        <f t="shared" si="37"/>
        <v>7.0680123029604012E-4</v>
      </c>
      <c r="AH52" s="37">
        <f t="shared" si="38"/>
        <v>0.36434792434462143</v>
      </c>
      <c r="AI52" s="40">
        <f t="shared" si="21"/>
        <v>0.36505472557491747</v>
      </c>
      <c r="AJ52" s="39">
        <f t="shared" si="22"/>
        <v>0.66666666666666685</v>
      </c>
      <c r="AK52" s="37">
        <f t="shared" si="39"/>
        <v>0.78397051314116251</v>
      </c>
      <c r="AL52" s="37">
        <f t="shared" si="40"/>
        <v>0.34800000000000003</v>
      </c>
      <c r="AM52" s="37">
        <f t="shared" si="41"/>
        <v>0.22935</v>
      </c>
      <c r="AN52" s="40">
        <f t="shared" si="23"/>
        <v>0.57735000000000003</v>
      </c>
      <c r="AO52" s="39">
        <f t="shared" si="42"/>
        <v>1.5365244136870439E-3</v>
      </c>
      <c r="AP52" s="37">
        <f t="shared" si="43"/>
        <v>0.19946250000000001</v>
      </c>
      <c r="AQ52" s="40">
        <f t="shared" si="44"/>
        <v>1.0800000000000001E-2</v>
      </c>
      <c r="AR52" s="39">
        <f t="shared" si="24"/>
        <v>1.169568994125475</v>
      </c>
      <c r="AS52" s="37">
        <f t="shared" si="25"/>
        <v>18.000000000000004</v>
      </c>
      <c r="AT52" s="40">
        <f t="shared" si="26"/>
        <v>93.898824775435017</v>
      </c>
    </row>
    <row r="53" spans="17:46" x14ac:dyDescent="0.25">
      <c r="Q53">
        <v>46</v>
      </c>
      <c r="R53" s="39">
        <f t="shared" si="0"/>
        <v>30</v>
      </c>
      <c r="S53" s="37">
        <f t="shared" si="30"/>
        <v>0.6133333333333334</v>
      </c>
      <c r="T53" s="37">
        <f t="shared" si="2"/>
        <v>24</v>
      </c>
      <c r="U53" s="40">
        <f t="shared" si="31"/>
        <v>0.85185185185185186</v>
      </c>
      <c r="V53" s="39">
        <f t="shared" si="32"/>
        <v>2</v>
      </c>
      <c r="W53" s="37">
        <f t="shared" si="33"/>
        <v>0.19999999999999996</v>
      </c>
      <c r="X53" s="40">
        <f t="shared" si="34"/>
        <v>0.8</v>
      </c>
      <c r="Y53" s="39">
        <f t="shared" si="35"/>
        <v>0.94117647058823517</v>
      </c>
      <c r="Z53" s="37">
        <f t="shared" si="28"/>
        <v>1.3224400871459694</v>
      </c>
      <c r="AA53" s="37">
        <f t="shared" si="29"/>
        <v>0.89413049377733822</v>
      </c>
      <c r="AB53" s="37">
        <v>0</v>
      </c>
      <c r="AC53" s="37">
        <f t="shared" si="36"/>
        <v>1.5989386798050134E-2</v>
      </c>
      <c r="AD53" s="40">
        <f t="shared" si="19"/>
        <v>1.5989386798050134E-2</v>
      </c>
      <c r="AE53" s="39">
        <f t="shared" si="27"/>
        <v>0.17037037037037034</v>
      </c>
      <c r="AF53" s="37">
        <f t="shared" si="20"/>
        <v>0.39986731296831607</v>
      </c>
      <c r="AG53" s="37">
        <f t="shared" si="37"/>
        <v>7.355117927103056E-4</v>
      </c>
      <c r="AH53" s="37">
        <f t="shared" si="38"/>
        <v>0.37244454488561296</v>
      </c>
      <c r="AI53" s="40">
        <f t="shared" si="21"/>
        <v>0.37318005667832327</v>
      </c>
      <c r="AJ53" s="39">
        <f t="shared" si="22"/>
        <v>0.68148148148148158</v>
      </c>
      <c r="AK53" s="37">
        <f t="shared" si="39"/>
        <v>0.79973462593663225</v>
      </c>
      <c r="AL53" s="37">
        <f t="shared" si="40"/>
        <v>0.35573333333333335</v>
      </c>
      <c r="AM53" s="37">
        <f t="shared" si="41"/>
        <v>0.22935</v>
      </c>
      <c r="AN53" s="40">
        <f t="shared" si="23"/>
        <v>0.5850833333333334</v>
      </c>
      <c r="AO53" s="39">
        <f t="shared" si="42"/>
        <v>1.5989386798050122E-3</v>
      </c>
      <c r="AP53" s="37">
        <f t="shared" si="43"/>
        <v>0.19946250000000001</v>
      </c>
      <c r="AQ53" s="40">
        <f t="shared" si="44"/>
        <v>1.0800000000000001E-2</v>
      </c>
      <c r="AR53" s="39">
        <f t="shared" si="24"/>
        <v>1.1861142154895117</v>
      </c>
      <c r="AS53" s="37">
        <f t="shared" si="25"/>
        <v>18.400000000000002</v>
      </c>
      <c r="AT53" s="40">
        <f t="shared" si="26"/>
        <v>93.944106511175747</v>
      </c>
    </row>
    <row r="54" spans="17:46" x14ac:dyDescent="0.25">
      <c r="Q54">
        <v>47</v>
      </c>
      <c r="R54" s="39">
        <f t="shared" si="0"/>
        <v>30</v>
      </c>
      <c r="S54" s="37">
        <f t="shared" si="30"/>
        <v>0.62666666666666671</v>
      </c>
      <c r="T54" s="37">
        <f t="shared" si="2"/>
        <v>24</v>
      </c>
      <c r="U54" s="40">
        <f t="shared" si="31"/>
        <v>0.87037037037037035</v>
      </c>
      <c r="V54" s="39">
        <f t="shared" si="32"/>
        <v>2</v>
      </c>
      <c r="W54" s="37">
        <f t="shared" si="33"/>
        <v>0.19999999999999996</v>
      </c>
      <c r="X54" s="40">
        <f t="shared" si="34"/>
        <v>0.8</v>
      </c>
      <c r="Y54" s="39">
        <f t="shared" si="35"/>
        <v>0.94117647058823517</v>
      </c>
      <c r="Z54" s="37">
        <f t="shared" si="28"/>
        <v>1.340958605664488</v>
      </c>
      <c r="AA54" s="37">
        <f t="shared" si="29"/>
        <v>0.91179073477291539</v>
      </c>
      <c r="AB54" s="37">
        <v>0</v>
      </c>
      <c r="AC54" s="37">
        <f t="shared" si="36"/>
        <v>1.6627246880354659E-2</v>
      </c>
      <c r="AD54" s="40">
        <f t="shared" si="19"/>
        <v>1.6627246880354659E-2</v>
      </c>
      <c r="AE54" s="39">
        <f t="shared" si="27"/>
        <v>0.17407407407407402</v>
      </c>
      <c r="AF54" s="37">
        <f t="shared" si="20"/>
        <v>0.40776521284134404</v>
      </c>
      <c r="AG54" s="37">
        <f t="shared" si="37"/>
        <v>7.6485335649631437E-4</v>
      </c>
      <c r="AH54" s="37">
        <f t="shared" si="38"/>
        <v>0.38054116542660449</v>
      </c>
      <c r="AI54" s="40">
        <f t="shared" si="21"/>
        <v>0.38130601878310078</v>
      </c>
      <c r="AJ54" s="39">
        <f t="shared" si="22"/>
        <v>0.6962962962962963</v>
      </c>
      <c r="AK54" s="37">
        <f t="shared" si="39"/>
        <v>0.81553042568268808</v>
      </c>
      <c r="AL54" s="37">
        <f t="shared" si="40"/>
        <v>0.36346666666666666</v>
      </c>
      <c r="AM54" s="37">
        <f t="shared" si="41"/>
        <v>0.22935</v>
      </c>
      <c r="AN54" s="40">
        <f t="shared" si="23"/>
        <v>0.59281666666666666</v>
      </c>
      <c r="AO54" s="39">
        <f t="shared" si="42"/>
        <v>1.662724688035466E-3</v>
      </c>
      <c r="AP54" s="37">
        <f t="shared" si="43"/>
        <v>0.19946250000000001</v>
      </c>
      <c r="AQ54" s="40">
        <f t="shared" si="44"/>
        <v>1.0800000000000001E-2</v>
      </c>
      <c r="AR54" s="39">
        <f t="shared" si="24"/>
        <v>1.2026751570181575</v>
      </c>
      <c r="AS54" s="37">
        <f t="shared" si="25"/>
        <v>18.8</v>
      </c>
      <c r="AT54" s="40">
        <f t="shared" si="26"/>
        <v>93.98742844355904</v>
      </c>
    </row>
    <row r="55" spans="17:46" x14ac:dyDescent="0.25">
      <c r="Q55">
        <v>48</v>
      </c>
      <c r="R55" s="39">
        <f t="shared" si="0"/>
        <v>30</v>
      </c>
      <c r="S55" s="37">
        <f t="shared" si="30"/>
        <v>0.64</v>
      </c>
      <c r="T55" s="37">
        <f t="shared" si="2"/>
        <v>24</v>
      </c>
      <c r="U55" s="40">
        <f t="shared" si="31"/>
        <v>0.88888888888888884</v>
      </c>
      <c r="V55" s="39">
        <f t="shared" si="32"/>
        <v>2</v>
      </c>
      <c r="W55" s="37">
        <f t="shared" si="33"/>
        <v>0.19999999999999996</v>
      </c>
      <c r="X55" s="40">
        <f t="shared" si="34"/>
        <v>0.8</v>
      </c>
      <c r="Y55" s="39">
        <f t="shared" si="35"/>
        <v>0.94117647058823517</v>
      </c>
      <c r="Z55" s="37">
        <f t="shared" si="28"/>
        <v>1.3594771241830064</v>
      </c>
      <c r="AA55" s="37">
        <f t="shared" si="29"/>
        <v>0.92948438351012685</v>
      </c>
      <c r="AB55" s="37">
        <v>0</v>
      </c>
      <c r="AC55" s="37">
        <f t="shared" si="36"/>
        <v>1.727882438378401E-2</v>
      </c>
      <c r="AD55" s="40">
        <f t="shared" si="19"/>
        <v>1.727882438378401E-2</v>
      </c>
      <c r="AE55" s="39">
        <f t="shared" si="27"/>
        <v>0.17777777777777773</v>
      </c>
      <c r="AF55" s="37">
        <f t="shared" si="20"/>
        <v>0.41567805311062556</v>
      </c>
      <c r="AG55" s="37">
        <f t="shared" si="37"/>
        <v>7.9482592165406414E-4</v>
      </c>
      <c r="AH55" s="37">
        <f t="shared" si="38"/>
        <v>0.38863778596759613</v>
      </c>
      <c r="AI55" s="40">
        <f t="shared" si="21"/>
        <v>0.38943261188925021</v>
      </c>
      <c r="AJ55" s="39">
        <f t="shared" si="22"/>
        <v>0.71111111111111114</v>
      </c>
      <c r="AK55" s="37">
        <f t="shared" si="39"/>
        <v>0.83135610622125122</v>
      </c>
      <c r="AL55" s="37">
        <f t="shared" si="40"/>
        <v>0.37119999999999997</v>
      </c>
      <c r="AM55" s="37">
        <f t="shared" si="41"/>
        <v>0.22935</v>
      </c>
      <c r="AN55" s="40">
        <f t="shared" si="23"/>
        <v>0.60054999999999992</v>
      </c>
      <c r="AO55" s="39">
        <f t="shared" si="42"/>
        <v>1.7278824383784002E-3</v>
      </c>
      <c r="AP55" s="37">
        <f t="shared" si="43"/>
        <v>0.19946250000000001</v>
      </c>
      <c r="AQ55" s="40">
        <f t="shared" si="44"/>
        <v>1.0800000000000001E-2</v>
      </c>
      <c r="AR55" s="39">
        <f t="shared" si="24"/>
        <v>1.2192518187114125</v>
      </c>
      <c r="AS55" s="37">
        <f t="shared" si="25"/>
        <v>19.2</v>
      </c>
      <c r="AT55" s="40">
        <f t="shared" si="26"/>
        <v>94.028910414855957</v>
      </c>
    </row>
    <row r="56" spans="17:46" x14ac:dyDescent="0.25">
      <c r="Q56">
        <v>49</v>
      </c>
      <c r="R56" s="39">
        <f t="shared" si="0"/>
        <v>30</v>
      </c>
      <c r="S56" s="37">
        <f t="shared" si="30"/>
        <v>0.65333333333333332</v>
      </c>
      <c r="T56" s="37">
        <f t="shared" si="2"/>
        <v>24</v>
      </c>
      <c r="U56" s="40">
        <f t="shared" si="31"/>
        <v>0.90740740740740744</v>
      </c>
      <c r="V56" s="39">
        <f t="shared" si="32"/>
        <v>2</v>
      </c>
      <c r="W56" s="37">
        <f t="shared" si="33"/>
        <v>0.19999999999999996</v>
      </c>
      <c r="X56" s="40">
        <f t="shared" si="34"/>
        <v>0.8</v>
      </c>
      <c r="Y56" s="39">
        <f t="shared" si="35"/>
        <v>0.94117647058823517</v>
      </c>
      <c r="Z56" s="37">
        <f t="shared" si="28"/>
        <v>1.377995642701525</v>
      </c>
      <c r="AA56" s="37">
        <f t="shared" si="29"/>
        <v>0.94720956784489352</v>
      </c>
      <c r="AB56" s="37">
        <v>0</v>
      </c>
      <c r="AC56" s="37">
        <f t="shared" si="36"/>
        <v>1.7944119308338197E-2</v>
      </c>
      <c r="AD56" s="40">
        <f t="shared" si="19"/>
        <v>1.7944119308338197E-2</v>
      </c>
      <c r="AE56" s="39">
        <f t="shared" si="27"/>
        <v>0.18148148148148144</v>
      </c>
      <c r="AF56" s="37">
        <f t="shared" si="20"/>
        <v>0.42360499652787609</v>
      </c>
      <c r="AG56" s="37">
        <f t="shared" si="37"/>
        <v>8.2542948818355676E-4</v>
      </c>
      <c r="AH56" s="37">
        <f t="shared" si="38"/>
        <v>0.39673440650858771</v>
      </c>
      <c r="AI56" s="40">
        <f t="shared" si="21"/>
        <v>0.39755983599677125</v>
      </c>
      <c r="AJ56" s="39">
        <f t="shared" si="22"/>
        <v>0.72592592592592597</v>
      </c>
      <c r="AK56" s="37">
        <f t="shared" si="39"/>
        <v>0.84720999305575229</v>
      </c>
      <c r="AL56" s="37">
        <f t="shared" si="40"/>
        <v>0.37893333333333329</v>
      </c>
      <c r="AM56" s="37">
        <f t="shared" si="41"/>
        <v>0.22935</v>
      </c>
      <c r="AN56" s="40">
        <f t="shared" si="23"/>
        <v>0.60828333333333329</v>
      </c>
      <c r="AO56" s="39">
        <f t="shared" si="42"/>
        <v>1.7944119308338192E-3</v>
      </c>
      <c r="AP56" s="37">
        <f t="shared" si="43"/>
        <v>0.19946250000000001</v>
      </c>
      <c r="AQ56" s="40">
        <f t="shared" si="44"/>
        <v>1.0800000000000001E-2</v>
      </c>
      <c r="AR56" s="39">
        <f t="shared" si="24"/>
        <v>1.2358442005692767</v>
      </c>
      <c r="AS56" s="37">
        <f t="shared" si="25"/>
        <v>19.600000000000001</v>
      </c>
      <c r="AT56" s="40">
        <f t="shared" si="26"/>
        <v>94.068662691692097</v>
      </c>
    </row>
    <row r="57" spans="17:46" x14ac:dyDescent="0.25">
      <c r="Q57">
        <v>50</v>
      </c>
      <c r="R57" s="39">
        <f t="shared" si="0"/>
        <v>30</v>
      </c>
      <c r="S57" s="37">
        <f t="shared" si="30"/>
        <v>0.66666666666666674</v>
      </c>
      <c r="T57" s="37">
        <f t="shared" si="2"/>
        <v>24</v>
      </c>
      <c r="U57" s="40">
        <f t="shared" si="31"/>
        <v>0.92592592592592604</v>
      </c>
      <c r="V57" s="39">
        <f t="shared" si="32"/>
        <v>2</v>
      </c>
      <c r="W57" s="37">
        <f t="shared" si="33"/>
        <v>0.19999999999999996</v>
      </c>
      <c r="X57" s="40">
        <f t="shared" si="34"/>
        <v>0.8</v>
      </c>
      <c r="Y57" s="39">
        <f t="shared" si="35"/>
        <v>0.94117647058823517</v>
      </c>
      <c r="Z57" s="37">
        <f t="shared" si="28"/>
        <v>1.3965141612200436</v>
      </c>
      <c r="AA57" s="37">
        <f t="shared" si="29"/>
        <v>0.96496454997106529</v>
      </c>
      <c r="AB57" s="37">
        <v>0</v>
      </c>
      <c r="AC57" s="37">
        <f t="shared" si="36"/>
        <v>1.8623131654017213E-2</v>
      </c>
      <c r="AD57" s="40">
        <f t="shared" si="19"/>
        <v>1.8623131654017213E-2</v>
      </c>
      <c r="AE57" s="39">
        <f t="shared" si="27"/>
        <v>0.18518518518518517</v>
      </c>
      <c r="AF57" s="37">
        <f t="shared" si="20"/>
        <v>0.43154526592255893</v>
      </c>
      <c r="AG57" s="37">
        <f t="shared" si="37"/>
        <v>8.5666405608479169E-4</v>
      </c>
      <c r="AH57" s="37">
        <f t="shared" si="38"/>
        <v>0.40483102704957935</v>
      </c>
      <c r="AI57" s="40">
        <f t="shared" si="21"/>
        <v>0.40568769110566416</v>
      </c>
      <c r="AJ57" s="39">
        <f t="shared" si="22"/>
        <v>0.74074074074074092</v>
      </c>
      <c r="AK57" s="37">
        <f t="shared" si="39"/>
        <v>0.86309053184511786</v>
      </c>
      <c r="AL57" s="37">
        <f t="shared" si="40"/>
        <v>0.38666666666666666</v>
      </c>
      <c r="AM57" s="37">
        <f t="shared" si="41"/>
        <v>0.22935</v>
      </c>
      <c r="AN57" s="40">
        <f t="shared" si="23"/>
        <v>0.61601666666666666</v>
      </c>
      <c r="AO57" s="39">
        <f t="shared" si="42"/>
        <v>1.8623131654017212E-3</v>
      </c>
      <c r="AP57" s="37">
        <f t="shared" si="43"/>
        <v>0.19946250000000001</v>
      </c>
      <c r="AQ57" s="40">
        <f t="shared" si="44"/>
        <v>1.0800000000000001E-2</v>
      </c>
      <c r="AR57" s="39">
        <f t="shared" si="24"/>
        <v>1.25245230259175</v>
      </c>
      <c r="AS57" s="37">
        <f t="shared" si="25"/>
        <v>20.000000000000004</v>
      </c>
      <c r="AT57" s="40">
        <f t="shared" si="26"/>
        <v>94.10678690270953</v>
      </c>
    </row>
    <row r="58" spans="17:46" x14ac:dyDescent="0.25">
      <c r="Q58">
        <v>51</v>
      </c>
      <c r="R58" s="39">
        <f t="shared" si="0"/>
        <v>30</v>
      </c>
      <c r="S58" s="37">
        <f t="shared" si="30"/>
        <v>0.68</v>
      </c>
      <c r="T58" s="37">
        <f t="shared" si="2"/>
        <v>24</v>
      </c>
      <c r="U58" s="40">
        <f t="shared" si="31"/>
        <v>0.94444444444444453</v>
      </c>
      <c r="V58" s="39">
        <f t="shared" si="32"/>
        <v>2</v>
      </c>
      <c r="W58" s="37">
        <f t="shared" si="33"/>
        <v>0.19999999999999996</v>
      </c>
      <c r="X58" s="40">
        <f t="shared" si="34"/>
        <v>0.8</v>
      </c>
      <c r="Y58" s="39">
        <f t="shared" si="35"/>
        <v>0.94117647058823517</v>
      </c>
      <c r="Z58" s="37">
        <f t="shared" si="28"/>
        <v>1.4150326797385622</v>
      </c>
      <c r="AA58" s="37">
        <f t="shared" si="29"/>
        <v>0.98274771484906176</v>
      </c>
      <c r="AB58" s="37">
        <v>0</v>
      </c>
      <c r="AC58" s="37">
        <f t="shared" si="36"/>
        <v>1.9315861420821059E-2</v>
      </c>
      <c r="AD58" s="40">
        <f t="shared" si="19"/>
        <v>1.9315861420821059E-2</v>
      </c>
      <c r="AE58" s="39">
        <f t="shared" si="27"/>
        <v>0.18888888888888886</v>
      </c>
      <c r="AF58" s="37">
        <f t="shared" si="20"/>
        <v>0.43949813902701629</v>
      </c>
      <c r="AG58" s="37">
        <f t="shared" si="37"/>
        <v>8.8852962535776849E-4</v>
      </c>
      <c r="AH58" s="37">
        <f t="shared" si="38"/>
        <v>0.41292764759057088</v>
      </c>
      <c r="AI58" s="40">
        <f t="shared" si="21"/>
        <v>0.41381617721592867</v>
      </c>
      <c r="AJ58" s="39">
        <f t="shared" si="22"/>
        <v>0.75555555555555565</v>
      </c>
      <c r="AK58" s="37">
        <f t="shared" si="39"/>
        <v>0.87899627805403269</v>
      </c>
      <c r="AL58" s="37">
        <f t="shared" si="40"/>
        <v>0.39440000000000003</v>
      </c>
      <c r="AM58" s="37">
        <f t="shared" si="41"/>
        <v>0.22935</v>
      </c>
      <c r="AN58" s="40">
        <f t="shared" si="23"/>
        <v>0.62375000000000003</v>
      </c>
      <c r="AO58" s="39">
        <f t="shared" si="42"/>
        <v>1.9315861420821055E-3</v>
      </c>
      <c r="AP58" s="37">
        <f t="shared" si="43"/>
        <v>0.19946250000000001</v>
      </c>
      <c r="AQ58" s="40">
        <f t="shared" si="44"/>
        <v>1.0800000000000001E-2</v>
      </c>
      <c r="AR58" s="39">
        <f t="shared" si="24"/>
        <v>1.269076124778832</v>
      </c>
      <c r="AS58" s="37">
        <f t="shared" si="25"/>
        <v>20.400000000000002</v>
      </c>
      <c r="AT58" s="40">
        <f t="shared" si="26"/>
        <v>94.143376868164538</v>
      </c>
    </row>
    <row r="59" spans="17:46" x14ac:dyDescent="0.25">
      <c r="Q59">
        <v>52</v>
      </c>
      <c r="R59" s="39">
        <f t="shared" si="0"/>
        <v>30</v>
      </c>
      <c r="S59" s="37">
        <f t="shared" si="30"/>
        <v>0.69333333333333336</v>
      </c>
      <c r="T59" s="37">
        <f t="shared" si="2"/>
        <v>24</v>
      </c>
      <c r="U59" s="40">
        <f t="shared" si="31"/>
        <v>0.96296296296296291</v>
      </c>
      <c r="V59" s="39">
        <f t="shared" si="32"/>
        <v>2</v>
      </c>
      <c r="W59" s="37">
        <f t="shared" si="33"/>
        <v>0.19999999999999996</v>
      </c>
      <c r="X59" s="40">
        <f t="shared" si="34"/>
        <v>0.8</v>
      </c>
      <c r="Y59" s="39">
        <f t="shared" si="35"/>
        <v>0.94117647058823517</v>
      </c>
      <c r="Z59" s="37">
        <f t="shared" si="28"/>
        <v>1.4335511982570806</v>
      </c>
      <c r="AA59" s="37">
        <f t="shared" si="29"/>
        <v>1.0005575597822876</v>
      </c>
      <c r="AB59" s="37">
        <v>0</v>
      </c>
      <c r="AC59" s="37">
        <f t="shared" si="36"/>
        <v>2.0022308608749716E-2</v>
      </c>
      <c r="AD59" s="40">
        <f t="shared" si="19"/>
        <v>2.0022308608749716E-2</v>
      </c>
      <c r="AE59" s="39">
        <f t="shared" si="27"/>
        <v>0.19259259259259254</v>
      </c>
      <c r="AF59" s="37">
        <f t="shared" si="20"/>
        <v>0.44746294381490082</v>
      </c>
      <c r="AG59" s="37">
        <f t="shared" si="37"/>
        <v>9.2102619600248662E-4</v>
      </c>
      <c r="AH59" s="37">
        <f t="shared" si="38"/>
        <v>0.42102426813156241</v>
      </c>
      <c r="AI59" s="40">
        <f t="shared" si="21"/>
        <v>0.42194529432756489</v>
      </c>
      <c r="AJ59" s="39">
        <f t="shared" si="22"/>
        <v>0.77037037037037037</v>
      </c>
      <c r="AK59" s="37">
        <f t="shared" si="39"/>
        <v>0.89492588762980174</v>
      </c>
      <c r="AL59" s="37">
        <f t="shared" si="40"/>
        <v>0.40213333333333334</v>
      </c>
      <c r="AM59" s="37">
        <f t="shared" si="41"/>
        <v>0.22935</v>
      </c>
      <c r="AN59" s="40">
        <f t="shared" si="23"/>
        <v>0.6314833333333334</v>
      </c>
      <c r="AO59" s="39">
        <f t="shared" si="42"/>
        <v>2.0022308608749709E-3</v>
      </c>
      <c r="AP59" s="37">
        <f t="shared" si="43"/>
        <v>0.19946250000000001</v>
      </c>
      <c r="AQ59" s="40">
        <f t="shared" si="44"/>
        <v>1.0800000000000001E-2</v>
      </c>
      <c r="AR59" s="39">
        <f t="shared" si="24"/>
        <v>1.2857156671305228</v>
      </c>
      <c r="AS59" s="37">
        <f t="shared" si="25"/>
        <v>20.8</v>
      </c>
      <c r="AT59" s="40">
        <f t="shared" si="26"/>
        <v>94.178519335717013</v>
      </c>
    </row>
    <row r="60" spans="17:46" x14ac:dyDescent="0.25">
      <c r="Q60">
        <v>53</v>
      </c>
      <c r="R60" s="39">
        <f t="shared" si="0"/>
        <v>30</v>
      </c>
      <c r="S60" s="37">
        <f t="shared" si="30"/>
        <v>0.70666666666666667</v>
      </c>
      <c r="T60" s="37">
        <f t="shared" si="2"/>
        <v>24</v>
      </c>
      <c r="U60" s="40">
        <f t="shared" si="31"/>
        <v>0.9814814814814814</v>
      </c>
      <c r="V60" s="39">
        <f t="shared" si="32"/>
        <v>2</v>
      </c>
      <c r="W60" s="37">
        <f t="shared" si="33"/>
        <v>0.19999999999999996</v>
      </c>
      <c r="X60" s="40">
        <f t="shared" si="34"/>
        <v>0.8</v>
      </c>
      <c r="Y60" s="39">
        <f t="shared" si="35"/>
        <v>0.94117647058823517</v>
      </c>
      <c r="Z60" s="37">
        <f t="shared" si="28"/>
        <v>1.4520697167755989</v>
      </c>
      <c r="AA60" s="37">
        <f t="shared" si="29"/>
        <v>1.018392685014067</v>
      </c>
      <c r="AB60" s="37">
        <v>0</v>
      </c>
      <c r="AC60" s="37">
        <f t="shared" si="36"/>
        <v>2.0742473217803214E-2</v>
      </c>
      <c r="AD60" s="40">
        <f t="shared" si="19"/>
        <v>2.0742473217803214E-2</v>
      </c>
      <c r="AE60" s="39">
        <f t="shared" si="27"/>
        <v>0.19629629629629625</v>
      </c>
      <c r="AF60" s="37">
        <f t="shared" si="20"/>
        <v>0.45543905429599696</v>
      </c>
      <c r="AG60" s="37">
        <f t="shared" si="37"/>
        <v>9.5415376801894749E-4</v>
      </c>
      <c r="AH60" s="37">
        <f t="shared" si="38"/>
        <v>0.42912088867255399</v>
      </c>
      <c r="AI60" s="40">
        <f t="shared" si="21"/>
        <v>0.43007504244057293</v>
      </c>
      <c r="AJ60" s="39">
        <f t="shared" si="22"/>
        <v>0.78518518518518521</v>
      </c>
      <c r="AK60" s="37">
        <f t="shared" si="39"/>
        <v>0.91087810859199414</v>
      </c>
      <c r="AL60" s="37">
        <f t="shared" si="40"/>
        <v>0.40986666666666666</v>
      </c>
      <c r="AM60" s="37">
        <f t="shared" si="41"/>
        <v>0.22935</v>
      </c>
      <c r="AN60" s="40">
        <f t="shared" si="23"/>
        <v>0.63921666666666666</v>
      </c>
      <c r="AO60" s="39">
        <f t="shared" si="42"/>
        <v>2.0742473217803207E-3</v>
      </c>
      <c r="AP60" s="37">
        <f t="shared" si="43"/>
        <v>0.19946250000000001</v>
      </c>
      <c r="AQ60" s="40">
        <f t="shared" si="44"/>
        <v>1.0800000000000001E-2</v>
      </c>
      <c r="AR60" s="39">
        <f t="shared" si="24"/>
        <v>1.3023709296468231</v>
      </c>
      <c r="AS60" s="37">
        <f t="shared" si="25"/>
        <v>21.2</v>
      </c>
      <c r="AT60" s="40">
        <f t="shared" si="26"/>
        <v>94.21229463455802</v>
      </c>
    </row>
    <row r="61" spans="17:46" x14ac:dyDescent="0.25">
      <c r="Q61">
        <v>54</v>
      </c>
      <c r="R61" s="39">
        <f t="shared" si="0"/>
        <v>30</v>
      </c>
      <c r="S61" s="37">
        <f t="shared" si="30"/>
        <v>0.72000000000000008</v>
      </c>
      <c r="T61" s="37">
        <f t="shared" si="2"/>
        <v>24</v>
      </c>
      <c r="U61" s="40">
        <f t="shared" si="31"/>
        <v>1</v>
      </c>
      <c r="V61" s="39">
        <f t="shared" si="32"/>
        <v>2</v>
      </c>
      <c r="W61" s="37">
        <f t="shared" si="33"/>
        <v>0.19999999999999996</v>
      </c>
      <c r="X61" s="40">
        <f t="shared" si="34"/>
        <v>0.8</v>
      </c>
      <c r="Y61" s="39">
        <f t="shared" si="35"/>
        <v>0.94117647058823517</v>
      </c>
      <c r="Z61" s="37">
        <f t="shared" si="28"/>
        <v>1.4705882352941175</v>
      </c>
      <c r="AA61" s="37">
        <f t="shared" si="29"/>
        <v>1.03625178523324</v>
      </c>
      <c r="AB61" s="37">
        <v>0</v>
      </c>
      <c r="AC61" s="37">
        <f t="shared" si="36"/>
        <v>2.1476355247981541E-2</v>
      </c>
      <c r="AD61" s="40">
        <f t="shared" si="19"/>
        <v>2.1476355247981541E-2</v>
      </c>
      <c r="AE61" s="39">
        <f t="shared" si="27"/>
        <v>0.19999999999999996</v>
      </c>
      <c r="AF61" s="37">
        <f t="shared" si="20"/>
        <v>0.46342588671740742</v>
      </c>
      <c r="AG61" s="37">
        <f t="shared" si="37"/>
        <v>9.8791234140715046E-4</v>
      </c>
      <c r="AH61" s="37">
        <f t="shared" si="38"/>
        <v>0.43721750921354563</v>
      </c>
      <c r="AI61" s="40">
        <f t="shared" si="21"/>
        <v>0.43820542155495279</v>
      </c>
      <c r="AJ61" s="39">
        <f t="shared" si="22"/>
        <v>0.8</v>
      </c>
      <c r="AK61" s="37">
        <f t="shared" si="39"/>
        <v>0.92685177343481495</v>
      </c>
      <c r="AL61" s="37">
        <f t="shared" si="40"/>
        <v>0.41760000000000003</v>
      </c>
      <c r="AM61" s="37">
        <f t="shared" si="41"/>
        <v>0.22935</v>
      </c>
      <c r="AN61" s="40">
        <f t="shared" si="23"/>
        <v>0.64695000000000003</v>
      </c>
      <c r="AO61" s="39">
        <f t="shared" si="42"/>
        <v>2.1476355247981535E-3</v>
      </c>
      <c r="AP61" s="37">
        <f t="shared" si="43"/>
        <v>0.19946250000000001</v>
      </c>
      <c r="AQ61" s="40">
        <f t="shared" si="44"/>
        <v>1.0800000000000001E-2</v>
      </c>
      <c r="AR61" s="39">
        <f t="shared" si="24"/>
        <v>1.3190419123277326</v>
      </c>
      <c r="AS61" s="37">
        <f t="shared" si="25"/>
        <v>21.6</v>
      </c>
      <c r="AT61" s="40">
        <f t="shared" si="26"/>
        <v>94.244777258257699</v>
      </c>
    </row>
    <row r="62" spans="17:46" x14ac:dyDescent="0.25">
      <c r="Q62">
        <v>55</v>
      </c>
      <c r="R62" s="39">
        <f t="shared" si="0"/>
        <v>30</v>
      </c>
      <c r="S62" s="37">
        <f t="shared" si="30"/>
        <v>0.73333333333333339</v>
      </c>
      <c r="T62" s="37">
        <f t="shared" si="2"/>
        <v>24</v>
      </c>
      <c r="U62" s="40">
        <f t="shared" si="31"/>
        <v>1.0185185185185184</v>
      </c>
      <c r="V62" s="39">
        <f t="shared" si="32"/>
        <v>2</v>
      </c>
      <c r="W62" s="37">
        <f t="shared" si="33"/>
        <v>0.19999999999999996</v>
      </c>
      <c r="X62" s="40">
        <f t="shared" si="34"/>
        <v>0.8</v>
      </c>
      <c r="Y62" s="39">
        <f t="shared" si="35"/>
        <v>0.94117647058823517</v>
      </c>
      <c r="Z62" s="37">
        <f t="shared" si="28"/>
        <v>1.4891067538126359</v>
      </c>
      <c r="AA62" s="37">
        <f t="shared" si="29"/>
        <v>1.0541336418899809</v>
      </c>
      <c r="AB62" s="37">
        <v>0</v>
      </c>
      <c r="AC62" s="37">
        <f t="shared" si="36"/>
        <v>2.2223954699284693E-2</v>
      </c>
      <c r="AD62" s="40">
        <f t="shared" si="19"/>
        <v>2.2223954699284693E-2</v>
      </c>
      <c r="AE62" s="39">
        <f t="shared" si="27"/>
        <v>0.20370370370370364</v>
      </c>
      <c r="AF62" s="37">
        <f t="shared" si="20"/>
        <v>0.47142289612708338</v>
      </c>
      <c r="AG62" s="37">
        <f t="shared" si="37"/>
        <v>1.0223019161670955E-3</v>
      </c>
      <c r="AH62" s="37">
        <f t="shared" si="38"/>
        <v>0.44531412975453716</v>
      </c>
      <c r="AI62" s="40">
        <f t="shared" si="21"/>
        <v>0.44633643167070425</v>
      </c>
      <c r="AJ62" s="39">
        <f t="shared" si="22"/>
        <v>0.81481481481481477</v>
      </c>
      <c r="AK62" s="37">
        <f t="shared" si="39"/>
        <v>0.94284579225416698</v>
      </c>
      <c r="AL62" s="37">
        <f t="shared" si="40"/>
        <v>0.42533333333333334</v>
      </c>
      <c r="AM62" s="37">
        <f t="shared" si="41"/>
        <v>0.22935</v>
      </c>
      <c r="AN62" s="40">
        <f t="shared" si="23"/>
        <v>0.65468333333333328</v>
      </c>
      <c r="AO62" s="39">
        <f t="shared" si="42"/>
        <v>2.2223954699284684E-3</v>
      </c>
      <c r="AP62" s="37">
        <f t="shared" si="43"/>
        <v>0.19946250000000001</v>
      </c>
      <c r="AQ62" s="40">
        <f t="shared" si="44"/>
        <v>1.0800000000000001E-2</v>
      </c>
      <c r="AR62" s="39">
        <f t="shared" si="24"/>
        <v>1.3357286151732506</v>
      </c>
      <c r="AS62" s="37">
        <f t="shared" si="25"/>
        <v>22</v>
      </c>
      <c r="AT62" s="40">
        <f t="shared" si="26"/>
        <v>94.276036385233155</v>
      </c>
    </row>
    <row r="63" spans="17:46" x14ac:dyDescent="0.25">
      <c r="Q63">
        <v>56</v>
      </c>
      <c r="R63" s="39">
        <f t="shared" si="0"/>
        <v>30</v>
      </c>
      <c r="S63" s="37">
        <f t="shared" si="30"/>
        <v>0.7466666666666667</v>
      </c>
      <c r="T63" s="37">
        <f t="shared" si="2"/>
        <v>24</v>
      </c>
      <c r="U63" s="40">
        <f t="shared" si="31"/>
        <v>1.037037037037037</v>
      </c>
      <c r="V63" s="39">
        <f t="shared" si="32"/>
        <v>2</v>
      </c>
      <c r="W63" s="37">
        <f t="shared" si="33"/>
        <v>0.19999999999999996</v>
      </c>
      <c r="X63" s="40">
        <f t="shared" si="34"/>
        <v>0.8</v>
      </c>
      <c r="Y63" s="39">
        <f t="shared" si="35"/>
        <v>0.94117647058823517</v>
      </c>
      <c r="Z63" s="37">
        <f t="shared" si="28"/>
        <v>1.5076252723311545</v>
      </c>
      <c r="AA63" s="37">
        <f t="shared" si="29"/>
        <v>1.0720371162350835</v>
      </c>
      <c r="AB63" s="37">
        <v>0</v>
      </c>
      <c r="AC63" s="37">
        <f t="shared" si="36"/>
        <v>2.2985271571712675E-2</v>
      </c>
      <c r="AD63" s="40">
        <f t="shared" si="19"/>
        <v>2.2985271571712675E-2</v>
      </c>
      <c r="AE63" s="39">
        <f t="shared" si="27"/>
        <v>0.20740740740740735</v>
      </c>
      <c r="AF63" s="37">
        <f t="shared" si="20"/>
        <v>0.47942957326089791</v>
      </c>
      <c r="AG63" s="37">
        <f t="shared" si="37"/>
        <v>1.0573224922987828E-3</v>
      </c>
      <c r="AH63" s="37">
        <f t="shared" si="38"/>
        <v>0.4534107502955288</v>
      </c>
      <c r="AI63" s="40">
        <f t="shared" si="21"/>
        <v>0.45446807278782758</v>
      </c>
      <c r="AJ63" s="39">
        <f t="shared" si="22"/>
        <v>0.82962962962962961</v>
      </c>
      <c r="AK63" s="37">
        <f t="shared" si="39"/>
        <v>0.95885914652179605</v>
      </c>
      <c r="AL63" s="37">
        <f t="shared" si="40"/>
        <v>0.43306666666666666</v>
      </c>
      <c r="AM63" s="37">
        <f t="shared" si="41"/>
        <v>0.22935</v>
      </c>
      <c r="AN63" s="40">
        <f t="shared" si="23"/>
        <v>0.66241666666666665</v>
      </c>
      <c r="AO63" s="39">
        <f t="shared" si="42"/>
        <v>2.2985271571712667E-3</v>
      </c>
      <c r="AP63" s="37">
        <f t="shared" si="43"/>
        <v>0.19946250000000001</v>
      </c>
      <c r="AQ63" s="40">
        <f t="shared" si="44"/>
        <v>1.0800000000000001E-2</v>
      </c>
      <c r="AR63" s="39">
        <f t="shared" si="24"/>
        <v>1.3524310381833782</v>
      </c>
      <c r="AS63" s="37">
        <f t="shared" si="25"/>
        <v>22.400000000000002</v>
      </c>
      <c r="AT63" s="40">
        <f t="shared" si="26"/>
        <v>94.306136344489246</v>
      </c>
    </row>
    <row r="64" spans="17:46" x14ac:dyDescent="0.25">
      <c r="Q64">
        <v>57</v>
      </c>
      <c r="R64" s="39">
        <f t="shared" si="0"/>
        <v>30</v>
      </c>
      <c r="S64" s="37">
        <f t="shared" si="30"/>
        <v>0.76</v>
      </c>
      <c r="T64" s="37">
        <f t="shared" si="2"/>
        <v>24</v>
      </c>
      <c r="U64" s="40">
        <f t="shared" si="31"/>
        <v>1.0555555555555556</v>
      </c>
      <c r="V64" s="39">
        <f t="shared" si="32"/>
        <v>2</v>
      </c>
      <c r="W64" s="37">
        <f t="shared" si="33"/>
        <v>0.19999999999999996</v>
      </c>
      <c r="X64" s="40">
        <f t="shared" si="34"/>
        <v>0.8</v>
      </c>
      <c r="Y64" s="39">
        <f t="shared" si="35"/>
        <v>0.94117647058823517</v>
      </c>
      <c r="Z64" s="37">
        <f t="shared" si="28"/>
        <v>1.5261437908496731</v>
      </c>
      <c r="AA64" s="37">
        <f t="shared" si="29"/>
        <v>1.0899611430061509</v>
      </c>
      <c r="AB64" s="37">
        <v>0</v>
      </c>
      <c r="AC64" s="37">
        <f t="shared" si="36"/>
        <v>2.3760305865265497E-2</v>
      </c>
      <c r="AD64" s="40">
        <f t="shared" si="19"/>
        <v>2.3760305865265497E-2</v>
      </c>
      <c r="AE64" s="39">
        <f t="shared" si="27"/>
        <v>0.21111111111111108</v>
      </c>
      <c r="AF64" s="37">
        <f t="shared" si="20"/>
        <v>0.48744544171902443</v>
      </c>
      <c r="AG64" s="37">
        <f t="shared" si="37"/>
        <v>1.0929740698022122E-3</v>
      </c>
      <c r="AH64" s="37">
        <f t="shared" si="38"/>
        <v>0.46150737083652038</v>
      </c>
      <c r="AI64" s="40">
        <f t="shared" si="21"/>
        <v>0.46260034490632257</v>
      </c>
      <c r="AJ64" s="39">
        <f t="shared" si="22"/>
        <v>0.84444444444444455</v>
      </c>
      <c r="AK64" s="37">
        <f t="shared" si="39"/>
        <v>0.97489088343804908</v>
      </c>
      <c r="AL64" s="37">
        <f t="shared" si="40"/>
        <v>0.44079999999999997</v>
      </c>
      <c r="AM64" s="37">
        <f t="shared" si="41"/>
        <v>0.22935</v>
      </c>
      <c r="AN64" s="40">
        <f t="shared" si="23"/>
        <v>0.67015000000000002</v>
      </c>
      <c r="AO64" s="39">
        <f t="shared" si="42"/>
        <v>2.3760305865265486E-3</v>
      </c>
      <c r="AP64" s="37">
        <f t="shared" si="43"/>
        <v>0.19946250000000001</v>
      </c>
      <c r="AQ64" s="40">
        <f t="shared" si="44"/>
        <v>1.0800000000000001E-2</v>
      </c>
      <c r="AR64" s="39">
        <f t="shared" si="24"/>
        <v>1.3691491813581147</v>
      </c>
      <c r="AS64" s="37">
        <f t="shared" si="25"/>
        <v>22.8</v>
      </c>
      <c r="AT64" s="40">
        <f t="shared" si="26"/>
        <v>94.335137033230154</v>
      </c>
    </row>
    <row r="65" spans="17:46" x14ac:dyDescent="0.25">
      <c r="Q65">
        <v>58</v>
      </c>
      <c r="R65" s="39">
        <f t="shared" si="0"/>
        <v>30</v>
      </c>
      <c r="S65" s="37">
        <f t="shared" si="30"/>
        <v>0.77333333333333343</v>
      </c>
      <c r="T65" s="37">
        <f t="shared" si="2"/>
        <v>24</v>
      </c>
      <c r="U65" s="40">
        <f t="shared" si="31"/>
        <v>1.0740740740740742</v>
      </c>
      <c r="V65" s="39">
        <f t="shared" si="32"/>
        <v>2</v>
      </c>
      <c r="W65" s="37">
        <f t="shared" si="33"/>
        <v>0.19999999999999996</v>
      </c>
      <c r="X65" s="40">
        <f t="shared" si="34"/>
        <v>0.8</v>
      </c>
      <c r="Y65" s="39">
        <f t="shared" si="35"/>
        <v>0.94117647058823517</v>
      </c>
      <c r="Z65" s="37">
        <f t="shared" si="28"/>
        <v>1.5446623093681917</v>
      </c>
      <c r="AA65" s="37">
        <f t="shared" si="29"/>
        <v>1.1079047246930382</v>
      </c>
      <c r="AB65" s="37">
        <v>0</v>
      </c>
      <c r="AC65" s="37">
        <f t="shared" si="36"/>
        <v>2.4549057579943138E-2</v>
      </c>
      <c r="AD65" s="40">
        <f t="shared" si="19"/>
        <v>2.4549057579943138E-2</v>
      </c>
      <c r="AE65" s="39">
        <f t="shared" si="27"/>
        <v>0.21481481481481479</v>
      </c>
      <c r="AF65" s="37">
        <f t="shared" si="20"/>
        <v>0.49547005540136463</v>
      </c>
      <c r="AG65" s="37">
        <f t="shared" si="37"/>
        <v>1.1292566486773841E-3</v>
      </c>
      <c r="AH65" s="37">
        <f t="shared" si="38"/>
        <v>0.46960399137751208</v>
      </c>
      <c r="AI65" s="40">
        <f t="shared" si="21"/>
        <v>0.47073324802618943</v>
      </c>
      <c r="AJ65" s="39">
        <f t="shared" si="22"/>
        <v>0.85925925925925939</v>
      </c>
      <c r="AK65" s="37">
        <f t="shared" si="39"/>
        <v>0.99094011080272948</v>
      </c>
      <c r="AL65" s="37">
        <f t="shared" si="40"/>
        <v>0.44853333333333334</v>
      </c>
      <c r="AM65" s="37">
        <f t="shared" si="41"/>
        <v>0.22935</v>
      </c>
      <c r="AN65" s="40">
        <f t="shared" si="23"/>
        <v>0.67788333333333339</v>
      </c>
      <c r="AO65" s="39">
        <f t="shared" si="42"/>
        <v>2.4549057579943134E-3</v>
      </c>
      <c r="AP65" s="37">
        <f t="shared" si="43"/>
        <v>0.19946250000000001</v>
      </c>
      <c r="AQ65" s="40">
        <f t="shared" si="44"/>
        <v>1.0800000000000001E-2</v>
      </c>
      <c r="AR65" s="39">
        <f t="shared" si="24"/>
        <v>1.3858830446974604</v>
      </c>
      <c r="AS65" s="37">
        <f t="shared" si="25"/>
        <v>23.200000000000003</v>
      </c>
      <c r="AT65" s="40">
        <f t="shared" si="26"/>
        <v>94.363094292045929</v>
      </c>
    </row>
    <row r="66" spans="17:46" x14ac:dyDescent="0.25">
      <c r="Q66">
        <v>59</v>
      </c>
      <c r="R66" s="39">
        <f t="shared" si="0"/>
        <v>30</v>
      </c>
      <c r="S66" s="37">
        <f t="shared" si="30"/>
        <v>0.78666666666666674</v>
      </c>
      <c r="T66" s="37">
        <f t="shared" si="2"/>
        <v>24</v>
      </c>
      <c r="U66" s="40">
        <f t="shared" si="31"/>
        <v>1.0925925925925926</v>
      </c>
      <c r="V66" s="39">
        <f t="shared" si="32"/>
        <v>2</v>
      </c>
      <c r="W66" s="37">
        <f t="shared" si="33"/>
        <v>0.19999999999999996</v>
      </c>
      <c r="X66" s="40">
        <f t="shared" si="34"/>
        <v>0.8</v>
      </c>
      <c r="Y66" s="39">
        <f t="shared" si="35"/>
        <v>0.94117647058823517</v>
      </c>
      <c r="Z66" s="37">
        <f t="shared" si="28"/>
        <v>1.5631808278867101</v>
      </c>
      <c r="AA66" s="37">
        <f t="shared" si="29"/>
        <v>1.1258669263226806</v>
      </c>
      <c r="AB66" s="37">
        <v>0</v>
      </c>
      <c r="AC66" s="37">
        <f t="shared" si="36"/>
        <v>2.5351526715745604E-2</v>
      </c>
      <c r="AD66" s="40">
        <f t="shared" si="19"/>
        <v>2.5351526715745604E-2</v>
      </c>
      <c r="AE66" s="39">
        <f t="shared" si="27"/>
        <v>0.21851851851851847</v>
      </c>
      <c r="AF66" s="37">
        <f t="shared" si="20"/>
        <v>0.50350299617525207</v>
      </c>
      <c r="AG66" s="37">
        <f t="shared" si="37"/>
        <v>1.1661702289242973E-3</v>
      </c>
      <c r="AH66" s="37">
        <f t="shared" si="38"/>
        <v>0.47770061191850355</v>
      </c>
      <c r="AI66" s="40">
        <f t="shared" si="21"/>
        <v>0.47886678214742784</v>
      </c>
      <c r="AJ66" s="39">
        <f t="shared" si="22"/>
        <v>0.87407407407407411</v>
      </c>
      <c r="AK66" s="37">
        <f t="shared" si="39"/>
        <v>1.0070059923505044</v>
      </c>
      <c r="AL66" s="37">
        <f t="shared" si="40"/>
        <v>0.45626666666666665</v>
      </c>
      <c r="AM66" s="37">
        <f t="shared" si="41"/>
        <v>0.22935</v>
      </c>
      <c r="AN66" s="40">
        <f t="shared" si="23"/>
        <v>0.68561666666666665</v>
      </c>
      <c r="AO66" s="39">
        <f t="shared" si="42"/>
        <v>2.5351526715745591E-3</v>
      </c>
      <c r="AP66" s="37">
        <f t="shared" si="43"/>
        <v>0.19946250000000001</v>
      </c>
      <c r="AQ66" s="40">
        <f t="shared" si="44"/>
        <v>1.0800000000000001E-2</v>
      </c>
      <c r="AR66" s="39">
        <f t="shared" si="24"/>
        <v>1.4026326282014145</v>
      </c>
      <c r="AS66" s="37">
        <f t="shared" si="25"/>
        <v>23.6</v>
      </c>
      <c r="AT66" s="40">
        <f t="shared" si="26"/>
        <v>94.390060242618887</v>
      </c>
    </row>
    <row r="67" spans="17:46" x14ac:dyDescent="0.25">
      <c r="Q67">
        <v>60</v>
      </c>
      <c r="R67" s="39">
        <f t="shared" si="0"/>
        <v>30</v>
      </c>
      <c r="S67" s="37">
        <f t="shared" si="30"/>
        <v>0.8</v>
      </c>
      <c r="T67" s="37">
        <f t="shared" si="2"/>
        <v>24</v>
      </c>
      <c r="U67" s="40">
        <f t="shared" si="31"/>
        <v>1.1111111111111109</v>
      </c>
      <c r="V67" s="39">
        <f t="shared" si="32"/>
        <v>2</v>
      </c>
      <c r="W67" s="37">
        <f t="shared" si="33"/>
        <v>0.19999999999999996</v>
      </c>
      <c r="X67" s="40">
        <f t="shared" si="34"/>
        <v>0.8</v>
      </c>
      <c r="Y67" s="39">
        <f t="shared" si="35"/>
        <v>0.94117647058823517</v>
      </c>
      <c r="Z67" s="37">
        <f t="shared" si="28"/>
        <v>1.5816993464052285</v>
      </c>
      <c r="AA67" s="37">
        <f t="shared" si="29"/>
        <v>1.1438468707102558</v>
      </c>
      <c r="AB67" s="37">
        <v>0</v>
      </c>
      <c r="AC67" s="37">
        <f t="shared" si="36"/>
        <v>2.6167713272672893E-2</v>
      </c>
      <c r="AD67" s="40">
        <f t="shared" si="19"/>
        <v>2.6167713272672893E-2</v>
      </c>
      <c r="AE67" s="39">
        <f t="shared" si="27"/>
        <v>0.22222222222222213</v>
      </c>
      <c r="AF67" s="37">
        <f t="shared" si="20"/>
        <v>0.5115438717517089</v>
      </c>
      <c r="AG67" s="37">
        <f t="shared" si="37"/>
        <v>1.2037148105429525E-3</v>
      </c>
      <c r="AH67" s="37">
        <f t="shared" si="38"/>
        <v>0.48579723245949508</v>
      </c>
      <c r="AI67" s="40">
        <f t="shared" si="21"/>
        <v>0.48700094727003801</v>
      </c>
      <c r="AJ67" s="39">
        <f t="shared" si="22"/>
        <v>0.88888888888888884</v>
      </c>
      <c r="AK67" s="37">
        <f t="shared" si="39"/>
        <v>1.023087743503418</v>
      </c>
      <c r="AL67" s="37">
        <f t="shared" si="40"/>
        <v>0.46399999999999997</v>
      </c>
      <c r="AM67" s="37">
        <f t="shared" si="41"/>
        <v>0.22935</v>
      </c>
      <c r="AN67" s="40">
        <f t="shared" si="23"/>
        <v>0.69334999999999991</v>
      </c>
      <c r="AO67" s="39">
        <f t="shared" si="42"/>
        <v>2.6167713272672883E-3</v>
      </c>
      <c r="AP67" s="37">
        <f t="shared" si="43"/>
        <v>0.19946250000000001</v>
      </c>
      <c r="AQ67" s="40">
        <f t="shared" si="44"/>
        <v>1.0800000000000001E-2</v>
      </c>
      <c r="AR67" s="39">
        <f t="shared" si="24"/>
        <v>1.4193979318699783</v>
      </c>
      <c r="AS67" s="37">
        <f t="shared" si="25"/>
        <v>24</v>
      </c>
      <c r="AT67" s="40">
        <f t="shared" si="26"/>
        <v>94.416083592245968</v>
      </c>
    </row>
    <row r="68" spans="17:46" x14ac:dyDescent="0.25">
      <c r="Q68">
        <v>61</v>
      </c>
      <c r="R68" s="39">
        <f t="shared" si="0"/>
        <v>30</v>
      </c>
      <c r="S68" s="37">
        <f t="shared" si="30"/>
        <v>0.81333333333333335</v>
      </c>
      <c r="T68" s="37">
        <f t="shared" si="2"/>
        <v>24</v>
      </c>
      <c r="U68" s="40">
        <f t="shared" si="31"/>
        <v>1.1296296296296298</v>
      </c>
      <c r="V68" s="39">
        <f t="shared" si="32"/>
        <v>2</v>
      </c>
      <c r="W68" s="37">
        <f t="shared" si="33"/>
        <v>0.19999999999999996</v>
      </c>
      <c r="X68" s="40">
        <f t="shared" si="34"/>
        <v>0.8</v>
      </c>
      <c r="Y68" s="39">
        <f t="shared" si="35"/>
        <v>0.94117647058823517</v>
      </c>
      <c r="Z68" s="37">
        <f t="shared" si="28"/>
        <v>1.6002178649237473</v>
      </c>
      <c r="AA68" s="37">
        <f t="shared" si="29"/>
        <v>1.1618437341296168</v>
      </c>
      <c r="AB68" s="37">
        <v>0</v>
      </c>
      <c r="AC68" s="37">
        <f t="shared" si="36"/>
        <v>2.6997617250725036E-2</v>
      </c>
      <c r="AD68" s="40">
        <f t="shared" si="19"/>
        <v>2.6997617250725036E-2</v>
      </c>
      <c r="AE68" s="39">
        <f t="shared" si="27"/>
        <v>0.22592592592592589</v>
      </c>
      <c r="AF68" s="37">
        <f t="shared" si="20"/>
        <v>0.51959231374920301</v>
      </c>
      <c r="AG68" s="37">
        <f t="shared" si="37"/>
        <v>1.2418903935333509E-3</v>
      </c>
      <c r="AH68" s="37">
        <f t="shared" si="38"/>
        <v>0.49389385300048677</v>
      </c>
      <c r="AI68" s="40">
        <f t="shared" si="21"/>
        <v>0.49513574339402011</v>
      </c>
      <c r="AJ68" s="39">
        <f t="shared" si="22"/>
        <v>0.9037037037037039</v>
      </c>
      <c r="AK68" s="37">
        <f t="shared" si="39"/>
        <v>1.0391846274984062</v>
      </c>
      <c r="AL68" s="37">
        <f t="shared" si="40"/>
        <v>0.47173333333333334</v>
      </c>
      <c r="AM68" s="37">
        <f t="shared" si="41"/>
        <v>0.22935</v>
      </c>
      <c r="AN68" s="40">
        <f t="shared" si="23"/>
        <v>0.70108333333333328</v>
      </c>
      <c r="AO68" s="39">
        <f t="shared" si="42"/>
        <v>2.6997617250725022E-3</v>
      </c>
      <c r="AP68" s="37">
        <f t="shared" si="43"/>
        <v>0.19946250000000001</v>
      </c>
      <c r="AQ68" s="40">
        <f t="shared" si="44"/>
        <v>1.0800000000000001E-2</v>
      </c>
      <c r="AR68" s="39">
        <f t="shared" si="24"/>
        <v>1.436178955703151</v>
      </c>
      <c r="AS68" s="37">
        <f t="shared" si="25"/>
        <v>24.400000000000002</v>
      </c>
      <c r="AT68" s="40">
        <f t="shared" si="26"/>
        <v>94.441209908920669</v>
      </c>
    </row>
    <row r="69" spans="17:46" x14ac:dyDescent="0.25">
      <c r="Q69">
        <v>62</v>
      </c>
      <c r="R69" s="39">
        <f t="shared" si="0"/>
        <v>30</v>
      </c>
      <c r="S69" s="37">
        <f t="shared" si="30"/>
        <v>0.82666666666666677</v>
      </c>
      <c r="T69" s="37">
        <f t="shared" si="2"/>
        <v>24</v>
      </c>
      <c r="U69" s="40">
        <f t="shared" si="31"/>
        <v>1.1481481481481484</v>
      </c>
      <c r="V69" s="39">
        <f t="shared" si="32"/>
        <v>2</v>
      </c>
      <c r="W69" s="37">
        <f t="shared" si="33"/>
        <v>0.19999999999999996</v>
      </c>
      <c r="X69" s="40">
        <f t="shared" si="34"/>
        <v>0.8</v>
      </c>
      <c r="Y69" s="39">
        <f t="shared" si="35"/>
        <v>0.94117647058823517</v>
      </c>
      <c r="Z69" s="37">
        <f t="shared" si="28"/>
        <v>1.6187363834422659</v>
      </c>
      <c r="AA69" s="37">
        <f t="shared" si="29"/>
        <v>1.1798567423611646</v>
      </c>
      <c r="AB69" s="37">
        <v>0</v>
      </c>
      <c r="AC69" s="37">
        <f t="shared" si="36"/>
        <v>2.7841238649901987E-2</v>
      </c>
      <c r="AD69" s="40">
        <f t="shared" si="19"/>
        <v>2.7841238649901987E-2</v>
      </c>
      <c r="AE69" s="39">
        <f t="shared" si="27"/>
        <v>0.22962962962962963</v>
      </c>
      <c r="AF69" s="37">
        <f t="shared" si="20"/>
        <v>0.52764797592620383</v>
      </c>
      <c r="AG69" s="37">
        <f t="shared" si="37"/>
        <v>1.2806969778954909E-3</v>
      </c>
      <c r="AH69" s="37">
        <f t="shared" si="38"/>
        <v>0.50199047354147841</v>
      </c>
      <c r="AI69" s="40">
        <f t="shared" si="21"/>
        <v>0.50327117051937387</v>
      </c>
      <c r="AJ69" s="39">
        <f t="shared" si="22"/>
        <v>0.91851851851851873</v>
      </c>
      <c r="AK69" s="37">
        <f t="shared" si="39"/>
        <v>1.0552959518524079</v>
      </c>
      <c r="AL69" s="37">
        <f t="shared" si="40"/>
        <v>0.47946666666666671</v>
      </c>
      <c r="AM69" s="37">
        <f t="shared" si="41"/>
        <v>0.22935</v>
      </c>
      <c r="AN69" s="40">
        <f t="shared" si="23"/>
        <v>0.70881666666666665</v>
      </c>
      <c r="AO69" s="39">
        <f t="shared" si="42"/>
        <v>2.7841238649901979E-3</v>
      </c>
      <c r="AP69" s="37">
        <f t="shared" si="43"/>
        <v>0.19946250000000001</v>
      </c>
      <c r="AQ69" s="40">
        <f t="shared" si="44"/>
        <v>1.0800000000000001E-2</v>
      </c>
      <c r="AR69" s="39">
        <f t="shared" si="24"/>
        <v>1.4529756997009329</v>
      </c>
      <c r="AS69" s="37">
        <f t="shared" si="25"/>
        <v>24.800000000000004</v>
      </c>
      <c r="AT69" s="40">
        <f t="shared" si="26"/>
        <v>94.465481870241916</v>
      </c>
    </row>
    <row r="70" spans="17:46" x14ac:dyDescent="0.25">
      <c r="Q70">
        <v>63</v>
      </c>
      <c r="R70" s="39">
        <f t="shared" si="0"/>
        <v>30</v>
      </c>
      <c r="S70" s="37">
        <f t="shared" si="30"/>
        <v>0.84000000000000008</v>
      </c>
      <c r="T70" s="37">
        <f t="shared" si="2"/>
        <v>24</v>
      </c>
      <c r="U70" s="40">
        <f t="shared" si="31"/>
        <v>1.1666666666666667</v>
      </c>
      <c r="V70" s="39">
        <f t="shared" si="32"/>
        <v>2</v>
      </c>
      <c r="W70" s="37">
        <f t="shared" si="33"/>
        <v>0.19999999999999996</v>
      </c>
      <c r="X70" s="40">
        <f t="shared" si="34"/>
        <v>0.8</v>
      </c>
      <c r="Y70" s="39">
        <f t="shared" si="35"/>
        <v>0.94117647058823517</v>
      </c>
      <c r="Z70" s="37">
        <f t="shared" si="28"/>
        <v>1.6372549019607843</v>
      </c>
      <c r="AA70" s="37">
        <f t="shared" si="29"/>
        <v>1.197885167079962</v>
      </c>
      <c r="AB70" s="37">
        <v>0</v>
      </c>
      <c r="AC70" s="37">
        <f t="shared" si="36"/>
        <v>2.8698577470203768E-2</v>
      </c>
      <c r="AD70" s="40">
        <f t="shared" si="19"/>
        <v>2.8698577470203768E-2</v>
      </c>
      <c r="AE70" s="39">
        <f t="shared" si="27"/>
        <v>0.23333333333333331</v>
      </c>
      <c r="AF70" s="37">
        <f t="shared" si="20"/>
        <v>0.53571053256589762</v>
      </c>
      <c r="AG70" s="37">
        <f t="shared" si="37"/>
        <v>1.3201345636293734E-3</v>
      </c>
      <c r="AH70" s="37">
        <f t="shared" si="38"/>
        <v>0.51008709408246988</v>
      </c>
      <c r="AI70" s="40">
        <f t="shared" si="21"/>
        <v>0.51140722864609922</v>
      </c>
      <c r="AJ70" s="39">
        <f t="shared" si="22"/>
        <v>0.93333333333333346</v>
      </c>
      <c r="AK70" s="37">
        <f t="shared" si="39"/>
        <v>1.0714210651317952</v>
      </c>
      <c r="AL70" s="37">
        <f t="shared" si="40"/>
        <v>0.48720000000000002</v>
      </c>
      <c r="AM70" s="37">
        <f t="shared" si="41"/>
        <v>0.22935</v>
      </c>
      <c r="AN70" s="40">
        <f t="shared" si="23"/>
        <v>0.71655000000000002</v>
      </c>
      <c r="AO70" s="39">
        <f t="shared" si="42"/>
        <v>2.8698577470203769E-3</v>
      </c>
      <c r="AP70" s="37">
        <f t="shared" si="43"/>
        <v>0.19946250000000001</v>
      </c>
      <c r="AQ70" s="40">
        <f t="shared" si="44"/>
        <v>1.0800000000000001E-2</v>
      </c>
      <c r="AR70" s="39">
        <f t="shared" si="24"/>
        <v>1.4697881638633234</v>
      </c>
      <c r="AS70" s="37">
        <f t="shared" si="25"/>
        <v>25.200000000000003</v>
      </c>
      <c r="AT70" s="40">
        <f t="shared" si="26"/>
        <v>94.488939489010122</v>
      </c>
    </row>
    <row r="71" spans="17:46" x14ac:dyDescent="0.25">
      <c r="Q71">
        <v>64</v>
      </c>
      <c r="R71" s="39">
        <f t="shared" ref="R71:R134" si="45">VOUT</f>
        <v>30</v>
      </c>
      <c r="S71" s="37">
        <f t="shared" ref="S71:S102" si="46">Q71*$O$12</f>
        <v>0.85333333333333339</v>
      </c>
      <c r="T71" s="37">
        <f t="shared" ref="T71:T134" si="47">VIN_var</f>
        <v>24</v>
      </c>
      <c r="U71" s="40">
        <f t="shared" ref="U71:U102" si="48">(R71*S71)/(T71*EFF_est)</f>
        <v>1.1851851851851851</v>
      </c>
      <c r="V71" s="39">
        <f t="shared" ref="V71:V102" si="49">IF((S71*R71/T71)&lt;((T71*(1-(T71/R71)))/(2*Lm*Fsw)),1,2)</f>
        <v>2</v>
      </c>
      <c r="W71" s="37">
        <f t="shared" ref="W71:W102" si="50">CHOOSE(V71,SQRT((2*S71*Lm*Fsw*(R71-T71))/((T71)^2)),1-(T71/R71))</f>
        <v>0.19999999999999996</v>
      </c>
      <c r="X71" s="40">
        <f t="shared" ref="X71:X102" si="51">CHOOSE(V71,(Lm*W71*Fsw)/(R71-T71),1-W71)</f>
        <v>0.8</v>
      </c>
      <c r="Y71" s="39">
        <f t="shared" ref="Y71:Y102" si="52">(T71*W71)/(Lm*Fsw)</f>
        <v>0.94117647058823517</v>
      </c>
      <c r="Z71" s="37">
        <f t="shared" si="28"/>
        <v>1.6557734204793026</v>
      </c>
      <c r="AA71" s="37">
        <f t="shared" si="29"/>
        <v>1.2159283225509301</v>
      </c>
      <c r="AB71" s="37">
        <v>0</v>
      </c>
      <c r="AC71" s="37">
        <f t="shared" ref="AC71:AC102" si="53">(AA71^2)*Rdcr</f>
        <v>2.9569633711630374E-2</v>
      </c>
      <c r="AD71" s="40">
        <f t="shared" si="19"/>
        <v>2.9569633711630374E-2</v>
      </c>
      <c r="AE71" s="39">
        <f t="shared" si="27"/>
        <v>0.23703703703703696</v>
      </c>
      <c r="AF71" s="37">
        <f t="shared" si="20"/>
        <v>0.54377967699823393</v>
      </c>
      <c r="AG71" s="37">
        <f t="shared" ref="AG71:AG102" si="54">(AF71^2)*RDS_on</f>
        <v>1.3602031507349967E-3</v>
      </c>
      <c r="AH71" s="37">
        <f t="shared" ref="AH71:AH102" si="55">((R71*U71)/2)*Fsw*(tr_sw+tf_sw)</f>
        <v>0.51818371462346147</v>
      </c>
      <c r="AI71" s="40">
        <f t="shared" si="21"/>
        <v>0.51954391777419651</v>
      </c>
      <c r="AJ71" s="39">
        <f t="shared" si="22"/>
        <v>0.94814814814814818</v>
      </c>
      <c r="AK71" s="37">
        <f t="shared" ref="AK71:AK102" si="56">CHOOSE(V71,Z71*SQRT(X71/3),SQRT(X71*((Z71^2)+((Y71^2)/3)-(Y71*Z71))))</f>
        <v>1.0875593539964681</v>
      </c>
      <c r="AL71" s="37">
        <f t="shared" ref="AL71:AL102" si="57">S71*Vd_rect</f>
        <v>0.49493333333333334</v>
      </c>
      <c r="AM71" s="37">
        <f t="shared" ref="AM71:AM102" si="58">CHOOSE(V71,(R71+Vd_rect)*Qrr*Fsw,(R71+Vd_rect)*Qrr*Fsw)</f>
        <v>0.22935</v>
      </c>
      <c r="AN71" s="40">
        <f t="shared" si="23"/>
        <v>0.72428333333333339</v>
      </c>
      <c r="AO71" s="39">
        <f t="shared" ref="AO71:AO102" si="59">(AF71^2)*R_cs</f>
        <v>2.956963371163036E-3</v>
      </c>
      <c r="AP71" s="37">
        <f t="shared" ref="AP71:AP102" si="60">Qg_tot*Vcc*Fsw</f>
        <v>0.19946250000000001</v>
      </c>
      <c r="AQ71" s="40">
        <f t="shared" ref="AQ71:AQ102" si="61">IQ*T71</f>
        <v>1.0800000000000001E-2</v>
      </c>
      <c r="AR71" s="39">
        <f t="shared" si="24"/>
        <v>1.4866163481903234</v>
      </c>
      <c r="AS71" s="37">
        <f t="shared" si="25"/>
        <v>25.6</v>
      </c>
      <c r="AT71" s="40">
        <f t="shared" si="26"/>
        <v>94.511620318018615</v>
      </c>
    </row>
    <row r="72" spans="17:46" x14ac:dyDescent="0.25">
      <c r="Q72">
        <v>65</v>
      </c>
      <c r="R72" s="39">
        <f t="shared" si="45"/>
        <v>30</v>
      </c>
      <c r="S72" s="37">
        <f t="shared" si="46"/>
        <v>0.8666666666666667</v>
      </c>
      <c r="T72" s="37">
        <f t="shared" si="47"/>
        <v>24</v>
      </c>
      <c r="U72" s="40">
        <f t="shared" si="48"/>
        <v>1.2037037037037037</v>
      </c>
      <c r="V72" s="39">
        <f t="shared" si="49"/>
        <v>2</v>
      </c>
      <c r="W72" s="37">
        <f t="shared" si="50"/>
        <v>0.19999999999999996</v>
      </c>
      <c r="X72" s="40">
        <f t="shared" si="51"/>
        <v>0.8</v>
      </c>
      <c r="Y72" s="39">
        <f t="shared" si="52"/>
        <v>0.94117647058823517</v>
      </c>
      <c r="Z72" s="37">
        <f t="shared" si="28"/>
        <v>1.6742919389978212</v>
      </c>
      <c r="AA72" s="37">
        <f t="shared" si="29"/>
        <v>1.233985562601561</v>
      </c>
      <c r="AB72" s="37">
        <v>0</v>
      </c>
      <c r="AC72" s="37">
        <f t="shared" si="53"/>
        <v>3.0454407374181824E-2</v>
      </c>
      <c r="AD72" s="40">
        <f t="shared" ref="AD72:AD135" si="62">AB72+AC72</f>
        <v>3.0454407374181824E-2</v>
      </c>
      <c r="AE72" s="39">
        <f t="shared" si="27"/>
        <v>0.2407407407407407</v>
      </c>
      <c r="AF72" s="37">
        <f t="shared" ref="AF72:AF135" si="63">CHOOSE(V72,Z72*SQRT(W72/3),SQRT(W72*((Z72^2)+((Y72^2)/3)-(Z72*Y72))))</f>
        <v>0.55185512024608241</v>
      </c>
      <c r="AG72" s="37">
        <f t="shared" si="54"/>
        <v>1.4009027392123631E-3</v>
      </c>
      <c r="AH72" s="37">
        <f t="shared" si="55"/>
        <v>0.52628033516445316</v>
      </c>
      <c r="AI72" s="40">
        <f t="shared" ref="AI72:AI135" si="64">AG72+AH72</f>
        <v>0.5276812379036655</v>
      </c>
      <c r="AJ72" s="39">
        <f t="shared" ref="AJ72:AJ135" si="65">X72*U72</f>
        <v>0.96296296296296302</v>
      </c>
      <c r="AK72" s="37">
        <f t="shared" si="56"/>
        <v>1.1037102404921648</v>
      </c>
      <c r="AL72" s="37">
        <f t="shared" si="57"/>
        <v>0.5026666666666666</v>
      </c>
      <c r="AM72" s="37">
        <f t="shared" si="58"/>
        <v>0.22935</v>
      </c>
      <c r="AN72" s="40">
        <f t="shared" ref="AN72:AN135" si="66">AL72+AM72</f>
        <v>0.73201666666666654</v>
      </c>
      <c r="AO72" s="39">
        <f t="shared" si="59"/>
        <v>3.0454407374181807E-3</v>
      </c>
      <c r="AP72" s="37">
        <f t="shared" si="60"/>
        <v>0.19946250000000001</v>
      </c>
      <c r="AQ72" s="40">
        <f t="shared" si="61"/>
        <v>1.0800000000000001E-2</v>
      </c>
      <c r="AR72" s="39">
        <f t="shared" ref="AR72:AR135" si="67">AO72+AN72+AI72+AD72+AP72+AQ72</f>
        <v>1.5034602526819323</v>
      </c>
      <c r="AS72" s="37">
        <f t="shared" ref="AS72:AS135" si="68">R72*S72</f>
        <v>26</v>
      </c>
      <c r="AT72" s="40">
        <f t="shared" ref="AT72:AT135" si="69">(AS72/(AS72+AR72))*100</f>
        <v>94.533559636244945</v>
      </c>
    </row>
    <row r="73" spans="17:46" x14ac:dyDescent="0.25">
      <c r="Q73">
        <v>66</v>
      </c>
      <c r="R73" s="39">
        <f t="shared" si="45"/>
        <v>30</v>
      </c>
      <c r="S73" s="37">
        <f t="shared" si="46"/>
        <v>0.88</v>
      </c>
      <c r="T73" s="37">
        <f t="shared" si="47"/>
        <v>24</v>
      </c>
      <c r="U73" s="40">
        <f t="shared" si="48"/>
        <v>1.2222222222222221</v>
      </c>
      <c r="V73" s="39">
        <f t="shared" si="49"/>
        <v>2</v>
      </c>
      <c r="W73" s="37">
        <f t="shared" si="50"/>
        <v>0.19999999999999996</v>
      </c>
      <c r="X73" s="40">
        <f t="shared" si="51"/>
        <v>0.8</v>
      </c>
      <c r="Y73" s="39">
        <f t="shared" si="52"/>
        <v>0.94117647058823517</v>
      </c>
      <c r="Z73" s="37">
        <f t="shared" si="28"/>
        <v>1.6928104575163396</v>
      </c>
      <c r="AA73" s="37">
        <f t="shared" si="29"/>
        <v>1.25205627784573</v>
      </c>
      <c r="AB73" s="37">
        <v>0</v>
      </c>
      <c r="AC73" s="37">
        <f t="shared" si="53"/>
        <v>3.1352898457858082E-2</v>
      </c>
      <c r="AD73" s="40">
        <f t="shared" si="62"/>
        <v>3.1352898457858082E-2</v>
      </c>
      <c r="AE73" s="39">
        <f t="shared" ref="AE73:AE136" si="70">U73*W73</f>
        <v>0.24444444444444435</v>
      </c>
      <c r="AF73" s="37">
        <f t="shared" si="63"/>
        <v>0.55993658978368321</v>
      </c>
      <c r="AG73" s="37">
        <f t="shared" si="54"/>
        <v>1.4422333290614714E-3</v>
      </c>
      <c r="AH73" s="37">
        <f t="shared" si="55"/>
        <v>0.53437695570544463</v>
      </c>
      <c r="AI73" s="40">
        <f t="shared" si="64"/>
        <v>0.53581918903450609</v>
      </c>
      <c r="AJ73" s="39">
        <f t="shared" si="65"/>
        <v>0.97777777777777775</v>
      </c>
      <c r="AK73" s="37">
        <f t="shared" si="56"/>
        <v>1.1198731795673667</v>
      </c>
      <c r="AL73" s="37">
        <f t="shared" si="57"/>
        <v>0.51039999999999996</v>
      </c>
      <c r="AM73" s="37">
        <f t="shared" si="58"/>
        <v>0.22935</v>
      </c>
      <c r="AN73" s="40">
        <f t="shared" si="66"/>
        <v>0.73974999999999991</v>
      </c>
      <c r="AO73" s="39">
        <f t="shared" si="59"/>
        <v>3.1352898457858076E-3</v>
      </c>
      <c r="AP73" s="37">
        <f t="shared" si="60"/>
        <v>0.19946250000000001</v>
      </c>
      <c r="AQ73" s="40">
        <f t="shared" si="61"/>
        <v>1.0800000000000001E-2</v>
      </c>
      <c r="AR73" s="39">
        <f t="shared" si="67"/>
        <v>1.5203198773381499</v>
      </c>
      <c r="AS73" s="37">
        <f t="shared" si="68"/>
        <v>26.4</v>
      </c>
      <c r="AT73" s="40">
        <f t="shared" si="69"/>
        <v>94.554790618383507</v>
      </c>
    </row>
    <row r="74" spans="17:46" x14ac:dyDescent="0.25">
      <c r="Q74">
        <v>67</v>
      </c>
      <c r="R74" s="39">
        <f t="shared" si="45"/>
        <v>30</v>
      </c>
      <c r="S74" s="37">
        <f t="shared" si="46"/>
        <v>0.89333333333333342</v>
      </c>
      <c r="T74" s="37">
        <f t="shared" si="47"/>
        <v>24</v>
      </c>
      <c r="U74" s="40">
        <f t="shared" si="48"/>
        <v>1.2407407407407409</v>
      </c>
      <c r="V74" s="39">
        <f t="shared" si="49"/>
        <v>2</v>
      </c>
      <c r="W74" s="37">
        <f t="shared" si="50"/>
        <v>0.19999999999999996</v>
      </c>
      <c r="X74" s="40">
        <f t="shared" si="51"/>
        <v>0.8</v>
      </c>
      <c r="Y74" s="39">
        <f t="shared" si="52"/>
        <v>0.94117647058823517</v>
      </c>
      <c r="Z74" s="37">
        <f t="shared" si="28"/>
        <v>1.7113289760348585</v>
      </c>
      <c r="AA74" s="37">
        <f t="shared" si="29"/>
        <v>1.2701398931349883</v>
      </c>
      <c r="AB74" s="37">
        <v>0</v>
      </c>
      <c r="AC74" s="37">
        <f t="shared" si="53"/>
        <v>3.226510696265919E-2</v>
      </c>
      <c r="AD74" s="40">
        <f t="shared" si="62"/>
        <v>3.226510696265919E-2</v>
      </c>
      <c r="AE74" s="39">
        <f t="shared" si="70"/>
        <v>0.24814814814814812</v>
      </c>
      <c r="AF74" s="37">
        <f t="shared" si="63"/>
        <v>0.56802382839683041</v>
      </c>
      <c r="AG74" s="37">
        <f t="shared" si="54"/>
        <v>1.4841949202823224E-3</v>
      </c>
      <c r="AH74" s="37">
        <f t="shared" si="55"/>
        <v>0.54247357624643633</v>
      </c>
      <c r="AI74" s="40">
        <f t="shared" si="64"/>
        <v>0.54395777116671862</v>
      </c>
      <c r="AJ74" s="39">
        <f t="shared" si="65"/>
        <v>0.9925925925925928</v>
      </c>
      <c r="AK74" s="37">
        <f t="shared" si="56"/>
        <v>1.1360476567936608</v>
      </c>
      <c r="AL74" s="37">
        <f t="shared" si="57"/>
        <v>0.51813333333333333</v>
      </c>
      <c r="AM74" s="37">
        <f t="shared" si="58"/>
        <v>0.22935</v>
      </c>
      <c r="AN74" s="40">
        <f t="shared" si="66"/>
        <v>0.74748333333333328</v>
      </c>
      <c r="AO74" s="39">
        <f t="shared" si="59"/>
        <v>3.2265106962659183E-3</v>
      </c>
      <c r="AP74" s="37">
        <f t="shared" si="60"/>
        <v>0.19946250000000001</v>
      </c>
      <c r="AQ74" s="40">
        <f t="shared" si="61"/>
        <v>1.0800000000000001E-2</v>
      </c>
      <c r="AR74" s="39">
        <f t="shared" si="67"/>
        <v>1.5371952221589771</v>
      </c>
      <c r="AS74" s="37">
        <f t="shared" si="68"/>
        <v>26.800000000000004</v>
      </c>
      <c r="AT74" s="40">
        <f t="shared" si="69"/>
        <v>94.575344489432993</v>
      </c>
    </row>
    <row r="75" spans="17:46" x14ac:dyDescent="0.25">
      <c r="Q75">
        <v>68</v>
      </c>
      <c r="R75" s="39">
        <f t="shared" si="45"/>
        <v>30</v>
      </c>
      <c r="S75" s="37">
        <f t="shared" si="46"/>
        <v>0.90666666666666673</v>
      </c>
      <c r="T75" s="37">
        <f t="shared" si="47"/>
        <v>24</v>
      </c>
      <c r="U75" s="40">
        <f t="shared" si="48"/>
        <v>1.2592592592592593</v>
      </c>
      <c r="V75" s="39">
        <f t="shared" si="49"/>
        <v>2</v>
      </c>
      <c r="W75" s="37">
        <f t="shared" si="50"/>
        <v>0.19999999999999996</v>
      </c>
      <c r="X75" s="40">
        <f t="shared" si="51"/>
        <v>0.8</v>
      </c>
      <c r="Y75" s="39">
        <f t="shared" si="52"/>
        <v>0.94117647058823517</v>
      </c>
      <c r="Z75" s="37">
        <f t="shared" si="28"/>
        <v>1.7298474945533768</v>
      </c>
      <c r="AA75" s="37">
        <f t="shared" si="29"/>
        <v>1.2882358652161707</v>
      </c>
      <c r="AB75" s="37">
        <v>0</v>
      </c>
      <c r="AC75" s="37">
        <f t="shared" si="53"/>
        <v>3.3191032888585117E-2</v>
      </c>
      <c r="AD75" s="40">
        <f t="shared" si="62"/>
        <v>3.3191032888585117E-2</v>
      </c>
      <c r="AE75" s="39">
        <f t="shared" si="70"/>
        <v>0.25185185185185183</v>
      </c>
      <c r="AF75" s="37">
        <f t="shared" si="63"/>
        <v>0.57611659313532271</v>
      </c>
      <c r="AG75" s="37">
        <f t="shared" si="54"/>
        <v>1.5267875128749146E-3</v>
      </c>
      <c r="AH75" s="37">
        <f t="shared" si="55"/>
        <v>0.5505701967874278</v>
      </c>
      <c r="AI75" s="40">
        <f t="shared" si="64"/>
        <v>0.55209698430030274</v>
      </c>
      <c r="AJ75" s="39">
        <f t="shared" si="65"/>
        <v>1.0074074074074075</v>
      </c>
      <c r="AK75" s="37">
        <f t="shared" si="56"/>
        <v>1.1522331862706456</v>
      </c>
      <c r="AL75" s="37">
        <f t="shared" si="57"/>
        <v>0.5258666666666667</v>
      </c>
      <c r="AM75" s="37">
        <f t="shared" si="58"/>
        <v>0.22935</v>
      </c>
      <c r="AN75" s="40">
        <f t="shared" si="66"/>
        <v>0.75521666666666665</v>
      </c>
      <c r="AO75" s="39">
        <f t="shared" si="59"/>
        <v>3.3191032888585099E-3</v>
      </c>
      <c r="AP75" s="37">
        <f t="shared" si="60"/>
        <v>0.19946250000000001</v>
      </c>
      <c r="AQ75" s="40">
        <f t="shared" si="61"/>
        <v>1.0800000000000001E-2</v>
      </c>
      <c r="AR75" s="39">
        <f t="shared" si="67"/>
        <v>1.5540862871444132</v>
      </c>
      <c r="AS75" s="37">
        <f t="shared" si="68"/>
        <v>27.200000000000003</v>
      </c>
      <c r="AT75" s="40">
        <f t="shared" si="69"/>
        <v>94.595250665853271</v>
      </c>
    </row>
    <row r="76" spans="17:46" x14ac:dyDescent="0.25">
      <c r="Q76">
        <v>69</v>
      </c>
      <c r="R76" s="39">
        <f t="shared" si="45"/>
        <v>30</v>
      </c>
      <c r="S76" s="37">
        <f t="shared" si="46"/>
        <v>0.92</v>
      </c>
      <c r="T76" s="37">
        <f t="shared" si="47"/>
        <v>24</v>
      </c>
      <c r="U76" s="40">
        <f t="shared" si="48"/>
        <v>1.2777777777777777</v>
      </c>
      <c r="V76" s="39">
        <f t="shared" si="49"/>
        <v>2</v>
      </c>
      <c r="W76" s="37">
        <f t="shared" si="50"/>
        <v>0.19999999999999996</v>
      </c>
      <c r="X76" s="40">
        <f t="shared" si="51"/>
        <v>0.8</v>
      </c>
      <c r="Y76" s="39">
        <f t="shared" si="52"/>
        <v>0.94117647058823517</v>
      </c>
      <c r="Z76" s="37">
        <f t="shared" si="28"/>
        <v>1.7483660130718952</v>
      </c>
      <c r="AA76" s="37">
        <f t="shared" si="29"/>
        <v>1.3063436805763609</v>
      </c>
      <c r="AB76" s="37">
        <v>0</v>
      </c>
      <c r="AC76" s="37">
        <f t="shared" si="53"/>
        <v>3.4130676235635864E-2</v>
      </c>
      <c r="AD76" s="40">
        <f t="shared" si="62"/>
        <v>3.4130676235635864E-2</v>
      </c>
      <c r="AE76" s="39">
        <f t="shared" si="70"/>
        <v>0.25555555555555548</v>
      </c>
      <c r="AF76" s="37">
        <f t="shared" si="63"/>
        <v>0.58421465434920272</v>
      </c>
      <c r="AG76" s="37">
        <f t="shared" si="54"/>
        <v>1.5700111068392487E-3</v>
      </c>
      <c r="AH76" s="37">
        <f t="shared" si="55"/>
        <v>0.55866681732841939</v>
      </c>
      <c r="AI76" s="40">
        <f t="shared" si="64"/>
        <v>0.56023682843525868</v>
      </c>
      <c r="AJ76" s="39">
        <f t="shared" si="65"/>
        <v>1.0222222222222221</v>
      </c>
      <c r="AK76" s="37">
        <f t="shared" si="56"/>
        <v>1.1684293086984057</v>
      </c>
      <c r="AL76" s="37">
        <f t="shared" si="57"/>
        <v>0.53359999999999996</v>
      </c>
      <c r="AM76" s="37">
        <f t="shared" si="58"/>
        <v>0.22935</v>
      </c>
      <c r="AN76" s="40">
        <f t="shared" si="66"/>
        <v>0.76295000000000002</v>
      </c>
      <c r="AO76" s="39">
        <f t="shared" si="59"/>
        <v>3.4130676235635845E-3</v>
      </c>
      <c r="AP76" s="37">
        <f t="shared" si="60"/>
        <v>0.19946250000000001</v>
      </c>
      <c r="AQ76" s="40">
        <f t="shared" si="61"/>
        <v>1.0800000000000001E-2</v>
      </c>
      <c r="AR76" s="39">
        <f t="shared" si="67"/>
        <v>1.5709930722944583</v>
      </c>
      <c r="AS76" s="37">
        <f t="shared" si="68"/>
        <v>27.6</v>
      </c>
      <c r="AT76" s="40">
        <f t="shared" si="69"/>
        <v>94.614536884633765</v>
      </c>
    </row>
    <row r="77" spans="17:46" x14ac:dyDescent="0.25">
      <c r="Q77">
        <v>70</v>
      </c>
      <c r="R77" s="39">
        <f t="shared" si="45"/>
        <v>30</v>
      </c>
      <c r="S77" s="37">
        <f t="shared" si="46"/>
        <v>0.93333333333333335</v>
      </c>
      <c r="T77" s="37">
        <f t="shared" si="47"/>
        <v>24</v>
      </c>
      <c r="U77" s="40">
        <f t="shared" si="48"/>
        <v>1.2962962962962963</v>
      </c>
      <c r="V77" s="39">
        <f t="shared" si="49"/>
        <v>2</v>
      </c>
      <c r="W77" s="37">
        <f t="shared" si="50"/>
        <v>0.19999999999999996</v>
      </c>
      <c r="X77" s="40">
        <f t="shared" si="51"/>
        <v>0.8</v>
      </c>
      <c r="Y77" s="39">
        <f t="shared" si="52"/>
        <v>0.94117647058823517</v>
      </c>
      <c r="Z77" s="37">
        <f t="shared" si="28"/>
        <v>1.7668845315904138</v>
      </c>
      <c r="AA77" s="37">
        <f t="shared" si="29"/>
        <v>1.3244628534581755</v>
      </c>
      <c r="AB77" s="37">
        <v>0</v>
      </c>
      <c r="AC77" s="37">
        <f t="shared" si="53"/>
        <v>3.508403700381145E-2</v>
      </c>
      <c r="AD77" s="40">
        <f t="shared" si="62"/>
        <v>3.508403700381145E-2</v>
      </c>
      <c r="AE77" s="39">
        <f t="shared" si="70"/>
        <v>0.25925925925925919</v>
      </c>
      <c r="AF77" s="37">
        <f t="shared" si="63"/>
        <v>0.59231779480116442</v>
      </c>
      <c r="AG77" s="37">
        <f t="shared" si="54"/>
        <v>1.6138657021753258E-3</v>
      </c>
      <c r="AH77" s="37">
        <f t="shared" si="55"/>
        <v>0.56676343786941097</v>
      </c>
      <c r="AI77" s="40">
        <f t="shared" si="64"/>
        <v>0.56837730357158633</v>
      </c>
      <c r="AJ77" s="39">
        <f t="shared" si="65"/>
        <v>1.037037037037037</v>
      </c>
      <c r="AK77" s="37">
        <f t="shared" si="56"/>
        <v>1.1846355896023291</v>
      </c>
      <c r="AL77" s="37">
        <f t="shared" si="57"/>
        <v>0.54133333333333333</v>
      </c>
      <c r="AM77" s="37">
        <f t="shared" si="58"/>
        <v>0.22935</v>
      </c>
      <c r="AN77" s="40">
        <f t="shared" si="66"/>
        <v>0.77068333333333339</v>
      </c>
      <c r="AO77" s="39">
        <f t="shared" si="59"/>
        <v>3.5084037003811431E-3</v>
      </c>
      <c r="AP77" s="37">
        <f t="shared" si="60"/>
        <v>0.19946250000000001</v>
      </c>
      <c r="AQ77" s="40">
        <f t="shared" si="61"/>
        <v>1.0800000000000001E-2</v>
      </c>
      <c r="AR77" s="39">
        <f t="shared" si="67"/>
        <v>1.5879155776091125</v>
      </c>
      <c r="AS77" s="37">
        <f t="shared" si="68"/>
        <v>28</v>
      </c>
      <c r="AT77" s="40">
        <f t="shared" si="69"/>
        <v>94.633229321464</v>
      </c>
    </row>
    <row r="78" spans="17:46" x14ac:dyDescent="0.25">
      <c r="Q78">
        <v>71</v>
      </c>
      <c r="R78" s="39">
        <f t="shared" si="45"/>
        <v>30</v>
      </c>
      <c r="S78" s="37">
        <f t="shared" si="46"/>
        <v>0.94666666666666677</v>
      </c>
      <c r="T78" s="37">
        <f t="shared" si="47"/>
        <v>24</v>
      </c>
      <c r="U78" s="40">
        <f t="shared" si="48"/>
        <v>1.3148148148148149</v>
      </c>
      <c r="V78" s="39">
        <f t="shared" si="49"/>
        <v>2</v>
      </c>
      <c r="W78" s="37">
        <f t="shared" si="50"/>
        <v>0.19999999999999996</v>
      </c>
      <c r="X78" s="40">
        <f t="shared" si="51"/>
        <v>0.8</v>
      </c>
      <c r="Y78" s="39">
        <f t="shared" si="52"/>
        <v>0.94117647058823517</v>
      </c>
      <c r="Z78" s="37">
        <f t="shared" si="28"/>
        <v>1.7854030501089324</v>
      </c>
      <c r="AA78" s="37">
        <f t="shared" si="29"/>
        <v>1.3425929240300625</v>
      </c>
      <c r="AB78" s="37">
        <v>0</v>
      </c>
      <c r="AC78" s="37">
        <f t="shared" si="53"/>
        <v>3.6051115193111861E-2</v>
      </c>
      <c r="AD78" s="40">
        <f t="shared" si="62"/>
        <v>3.6051115193111861E-2</v>
      </c>
      <c r="AE78" s="39">
        <f t="shared" si="70"/>
        <v>0.2629629629629629</v>
      </c>
      <c r="AF78" s="37">
        <f t="shared" si="63"/>
        <v>0.600425808848286</v>
      </c>
      <c r="AG78" s="37">
        <f t="shared" si="54"/>
        <v>1.658351298883145E-3</v>
      </c>
      <c r="AH78" s="37">
        <f t="shared" si="55"/>
        <v>0.57486005841040255</v>
      </c>
      <c r="AI78" s="40">
        <f t="shared" si="64"/>
        <v>0.5765184097092857</v>
      </c>
      <c r="AJ78" s="39">
        <f t="shared" si="65"/>
        <v>1.051851851851852</v>
      </c>
      <c r="AK78" s="37">
        <f t="shared" si="56"/>
        <v>1.2008516176965722</v>
      </c>
      <c r="AL78" s="37">
        <f t="shared" si="57"/>
        <v>0.5490666666666667</v>
      </c>
      <c r="AM78" s="37">
        <f t="shared" si="58"/>
        <v>0.22935</v>
      </c>
      <c r="AN78" s="40">
        <f t="shared" si="66"/>
        <v>0.77841666666666676</v>
      </c>
      <c r="AO78" s="39">
        <f t="shared" si="59"/>
        <v>3.605111519311185E-3</v>
      </c>
      <c r="AP78" s="37">
        <f t="shared" si="60"/>
        <v>0.19946250000000001</v>
      </c>
      <c r="AQ78" s="40">
        <f t="shared" si="61"/>
        <v>1.0800000000000001E-2</v>
      </c>
      <c r="AR78" s="39">
        <f t="shared" si="67"/>
        <v>1.6048538030883754</v>
      </c>
      <c r="AS78" s="37">
        <f t="shared" si="68"/>
        <v>28.400000000000002</v>
      </c>
      <c r="AT78" s="40">
        <f t="shared" si="69"/>
        <v>94.651352699065015</v>
      </c>
    </row>
    <row r="79" spans="17:46" x14ac:dyDescent="0.25">
      <c r="Q79">
        <v>72</v>
      </c>
      <c r="R79" s="39">
        <f t="shared" si="45"/>
        <v>30</v>
      </c>
      <c r="S79" s="37">
        <f t="shared" si="46"/>
        <v>0.96000000000000008</v>
      </c>
      <c r="T79" s="37">
        <f t="shared" si="47"/>
        <v>24</v>
      </c>
      <c r="U79" s="40">
        <f t="shared" si="48"/>
        <v>1.3333333333333333</v>
      </c>
      <c r="V79" s="39">
        <f t="shared" si="49"/>
        <v>2</v>
      </c>
      <c r="W79" s="37">
        <f t="shared" si="50"/>
        <v>0.19999999999999996</v>
      </c>
      <c r="X79" s="40">
        <f t="shared" si="51"/>
        <v>0.8</v>
      </c>
      <c r="Y79" s="39">
        <f t="shared" si="52"/>
        <v>0.94117647058823517</v>
      </c>
      <c r="Z79" s="37">
        <f t="shared" si="28"/>
        <v>1.8039215686274508</v>
      </c>
      <c r="AA79" s="37">
        <f t="shared" si="29"/>
        <v>1.3607334566978408</v>
      </c>
      <c r="AB79" s="37">
        <v>0</v>
      </c>
      <c r="AC79" s="37">
        <f t="shared" si="53"/>
        <v>3.7031910803537092E-2</v>
      </c>
      <c r="AD79" s="40">
        <f t="shared" si="62"/>
        <v>3.7031910803537092E-2</v>
      </c>
      <c r="AE79" s="39">
        <f t="shared" si="70"/>
        <v>0.26666666666666661</v>
      </c>
      <c r="AF79" s="37">
        <f t="shared" si="63"/>
        <v>0.60853850168692758</v>
      </c>
      <c r="AG79" s="37">
        <f t="shared" si="54"/>
        <v>1.7034678969627055E-3</v>
      </c>
      <c r="AH79" s="37">
        <f t="shared" si="55"/>
        <v>0.58295667895139414</v>
      </c>
      <c r="AI79" s="40">
        <f t="shared" si="64"/>
        <v>0.58466014684835688</v>
      </c>
      <c r="AJ79" s="39">
        <f t="shared" si="65"/>
        <v>1.0666666666666667</v>
      </c>
      <c r="AK79" s="37">
        <f t="shared" si="56"/>
        <v>1.2170770033738554</v>
      </c>
      <c r="AL79" s="37">
        <f t="shared" si="57"/>
        <v>0.55679999999999996</v>
      </c>
      <c r="AM79" s="37">
        <f t="shared" si="58"/>
        <v>0.22935</v>
      </c>
      <c r="AN79" s="40">
        <f t="shared" si="66"/>
        <v>0.7861499999999999</v>
      </c>
      <c r="AO79" s="39">
        <f t="shared" si="59"/>
        <v>3.7031910803537078E-3</v>
      </c>
      <c r="AP79" s="37">
        <f t="shared" si="60"/>
        <v>0.19946250000000001</v>
      </c>
      <c r="AQ79" s="40">
        <f t="shared" si="61"/>
        <v>1.0800000000000001E-2</v>
      </c>
      <c r="AR79" s="39">
        <f t="shared" si="67"/>
        <v>1.6218077487322475</v>
      </c>
      <c r="AS79" s="37">
        <f t="shared" si="68"/>
        <v>28.8</v>
      </c>
      <c r="AT79" s="40">
        <f t="shared" si="69"/>
        <v>94.668930386624268</v>
      </c>
    </row>
    <row r="80" spans="17:46" x14ac:dyDescent="0.25">
      <c r="Q80">
        <v>73</v>
      </c>
      <c r="R80" s="39">
        <f t="shared" si="45"/>
        <v>30</v>
      </c>
      <c r="S80" s="37">
        <f t="shared" si="46"/>
        <v>0.97333333333333338</v>
      </c>
      <c r="T80" s="37">
        <f t="shared" si="47"/>
        <v>24</v>
      </c>
      <c r="U80" s="40">
        <f t="shared" si="48"/>
        <v>1.3518518518518519</v>
      </c>
      <c r="V80" s="39">
        <f t="shared" si="49"/>
        <v>2</v>
      </c>
      <c r="W80" s="37">
        <f t="shared" si="50"/>
        <v>0.19999999999999996</v>
      </c>
      <c r="X80" s="40">
        <f t="shared" si="51"/>
        <v>0.8</v>
      </c>
      <c r="Y80" s="39">
        <f t="shared" si="52"/>
        <v>0.94117647058823517</v>
      </c>
      <c r="Z80" s="37">
        <f t="shared" ref="Z80:Z143" si="71">CHOOSE(V80,Y80,U80+(0.5*Y80))</f>
        <v>1.8224400871459694</v>
      </c>
      <c r="AA80" s="37">
        <f t="shared" ref="AA80:AA143" si="72">CHOOSE(V80,Z80*SQRT((W80+X80)/3),SQRT((U80^2)+((Y80^2)/12)))</f>
        <v>1.3788840385450687</v>
      </c>
      <c r="AB80" s="37">
        <v>0</v>
      </c>
      <c r="AC80" s="37">
        <f t="shared" si="53"/>
        <v>3.802642383508717E-2</v>
      </c>
      <c r="AD80" s="40">
        <f t="shared" si="62"/>
        <v>3.802642383508717E-2</v>
      </c>
      <c r="AE80" s="39">
        <f t="shared" si="70"/>
        <v>0.27037037037037032</v>
      </c>
      <c r="AF80" s="37">
        <f t="shared" si="63"/>
        <v>0.61665568865524267</v>
      </c>
      <c r="AG80" s="37">
        <f t="shared" si="54"/>
        <v>1.7492154964140092E-3</v>
      </c>
      <c r="AH80" s="37">
        <f t="shared" si="55"/>
        <v>0.59105329949238583</v>
      </c>
      <c r="AI80" s="40">
        <f t="shared" si="64"/>
        <v>0.59280251498879988</v>
      </c>
      <c r="AJ80" s="39">
        <f t="shared" si="65"/>
        <v>1.0814814814814815</v>
      </c>
      <c r="AK80" s="37">
        <f t="shared" si="56"/>
        <v>1.2333113773104853</v>
      </c>
      <c r="AL80" s="37">
        <f t="shared" si="57"/>
        <v>0.56453333333333333</v>
      </c>
      <c r="AM80" s="37">
        <f t="shared" si="58"/>
        <v>0.22935</v>
      </c>
      <c r="AN80" s="40">
        <f t="shared" si="66"/>
        <v>0.79388333333333327</v>
      </c>
      <c r="AO80" s="39">
        <f t="shared" si="59"/>
        <v>3.8026423835087158E-3</v>
      </c>
      <c r="AP80" s="37">
        <f t="shared" si="60"/>
        <v>0.19946250000000001</v>
      </c>
      <c r="AQ80" s="40">
        <f t="shared" si="61"/>
        <v>1.0800000000000001E-2</v>
      </c>
      <c r="AR80" s="39">
        <f t="shared" si="67"/>
        <v>1.638777414540729</v>
      </c>
      <c r="AS80" s="37">
        <f t="shared" si="68"/>
        <v>29.200000000000003</v>
      </c>
      <c r="AT80" s="40">
        <f t="shared" si="69"/>
        <v>94.685984491174963</v>
      </c>
    </row>
    <row r="81" spans="17:46" x14ac:dyDescent="0.25">
      <c r="Q81">
        <v>74</v>
      </c>
      <c r="R81" s="39">
        <f t="shared" si="45"/>
        <v>30</v>
      </c>
      <c r="S81" s="37">
        <f t="shared" si="46"/>
        <v>0.98666666666666669</v>
      </c>
      <c r="T81" s="37">
        <f t="shared" si="47"/>
        <v>24</v>
      </c>
      <c r="U81" s="40">
        <f t="shared" si="48"/>
        <v>1.3703703703703702</v>
      </c>
      <c r="V81" s="39">
        <f t="shared" si="49"/>
        <v>2</v>
      </c>
      <c r="W81" s="37">
        <f t="shared" si="50"/>
        <v>0.19999999999999996</v>
      </c>
      <c r="X81" s="40">
        <f t="shared" si="51"/>
        <v>0.8</v>
      </c>
      <c r="Y81" s="39">
        <f t="shared" si="52"/>
        <v>0.94117647058823517</v>
      </c>
      <c r="Z81" s="37">
        <f t="shared" si="71"/>
        <v>1.8409586056644878</v>
      </c>
      <c r="AA81" s="37">
        <f t="shared" si="72"/>
        <v>1.3970442778910419</v>
      </c>
      <c r="AB81" s="37">
        <v>0</v>
      </c>
      <c r="AC81" s="37">
        <f t="shared" si="53"/>
        <v>3.9034654287762052E-2</v>
      </c>
      <c r="AD81" s="40">
        <f t="shared" si="62"/>
        <v>3.9034654287762052E-2</v>
      </c>
      <c r="AE81" s="39">
        <f t="shared" si="70"/>
        <v>0.27407407407407397</v>
      </c>
      <c r="AF81" s="37">
        <f t="shared" si="63"/>
        <v>0.62477719458829517</v>
      </c>
      <c r="AG81" s="37">
        <f t="shared" si="54"/>
        <v>1.7955940972370541E-3</v>
      </c>
      <c r="AH81" s="37">
        <f t="shared" si="55"/>
        <v>0.5991499200333773</v>
      </c>
      <c r="AI81" s="40">
        <f t="shared" si="64"/>
        <v>0.60094551413061437</v>
      </c>
      <c r="AJ81" s="39">
        <f t="shared" si="65"/>
        <v>1.0962962962962963</v>
      </c>
      <c r="AK81" s="37">
        <f t="shared" si="56"/>
        <v>1.2495543891765906</v>
      </c>
      <c r="AL81" s="37">
        <f t="shared" si="57"/>
        <v>0.57226666666666659</v>
      </c>
      <c r="AM81" s="37">
        <f t="shared" si="58"/>
        <v>0.22935</v>
      </c>
      <c r="AN81" s="40">
        <f t="shared" si="66"/>
        <v>0.80161666666666664</v>
      </c>
      <c r="AO81" s="39">
        <f t="shared" si="59"/>
        <v>3.9034654287762043E-3</v>
      </c>
      <c r="AP81" s="37">
        <f t="shared" si="60"/>
        <v>0.19946250000000001</v>
      </c>
      <c r="AQ81" s="40">
        <f t="shared" si="61"/>
        <v>1.0800000000000001E-2</v>
      </c>
      <c r="AR81" s="39">
        <f t="shared" si="67"/>
        <v>1.6557628005138192</v>
      </c>
      <c r="AS81" s="37">
        <f t="shared" si="68"/>
        <v>29.6</v>
      </c>
      <c r="AT81" s="40">
        <f t="shared" si="69"/>
        <v>94.702535941670888</v>
      </c>
    </row>
    <row r="82" spans="17:46" x14ac:dyDescent="0.25">
      <c r="Q82">
        <v>75</v>
      </c>
      <c r="R82" s="39">
        <f t="shared" si="45"/>
        <v>30</v>
      </c>
      <c r="S82" s="37">
        <f t="shared" si="46"/>
        <v>1</v>
      </c>
      <c r="T82" s="37">
        <f t="shared" si="47"/>
        <v>24</v>
      </c>
      <c r="U82" s="40">
        <f t="shared" si="48"/>
        <v>1.3888888888888888</v>
      </c>
      <c r="V82" s="39">
        <f t="shared" si="49"/>
        <v>2</v>
      </c>
      <c r="W82" s="37">
        <f t="shared" si="50"/>
        <v>0.19999999999999996</v>
      </c>
      <c r="X82" s="40">
        <f t="shared" si="51"/>
        <v>0.8</v>
      </c>
      <c r="Y82" s="39">
        <f t="shared" si="52"/>
        <v>0.94117647058823517</v>
      </c>
      <c r="Z82" s="37">
        <f t="shared" si="71"/>
        <v>1.8594771241830064</v>
      </c>
      <c r="AA82" s="37">
        <f t="shared" si="72"/>
        <v>1.4152138029563199</v>
      </c>
      <c r="AB82" s="37">
        <v>0</v>
      </c>
      <c r="AC82" s="37">
        <f t="shared" si="53"/>
        <v>4.0056602161561788E-2</v>
      </c>
      <c r="AD82" s="40">
        <f t="shared" si="62"/>
        <v>4.0056602161561788E-2</v>
      </c>
      <c r="AE82" s="39">
        <f t="shared" si="70"/>
        <v>0.27777777777777768</v>
      </c>
      <c r="AF82" s="37">
        <f t="shared" si="63"/>
        <v>0.63290285322126472</v>
      </c>
      <c r="AG82" s="37">
        <f t="shared" si="54"/>
        <v>1.8426036994318418E-3</v>
      </c>
      <c r="AH82" s="37">
        <f t="shared" si="55"/>
        <v>0.60724654057436889</v>
      </c>
      <c r="AI82" s="40">
        <f t="shared" si="64"/>
        <v>0.60908914427380068</v>
      </c>
      <c r="AJ82" s="39">
        <f t="shared" si="65"/>
        <v>1.1111111111111112</v>
      </c>
      <c r="AK82" s="37">
        <f t="shared" si="56"/>
        <v>1.2658057064425297</v>
      </c>
      <c r="AL82" s="37">
        <f t="shared" si="57"/>
        <v>0.57999999999999996</v>
      </c>
      <c r="AM82" s="37">
        <f t="shared" si="58"/>
        <v>0.22935</v>
      </c>
      <c r="AN82" s="40">
        <f t="shared" si="66"/>
        <v>0.80935000000000001</v>
      </c>
      <c r="AO82" s="39">
        <f t="shared" si="59"/>
        <v>4.0056602161561775E-3</v>
      </c>
      <c r="AP82" s="37">
        <f t="shared" si="60"/>
        <v>0.19946250000000001</v>
      </c>
      <c r="AQ82" s="40">
        <f t="shared" si="61"/>
        <v>1.0800000000000001E-2</v>
      </c>
      <c r="AR82" s="39">
        <f t="shared" si="67"/>
        <v>1.6727639066515188</v>
      </c>
      <c r="AS82" s="37">
        <f t="shared" si="68"/>
        <v>30</v>
      </c>
      <c r="AT82" s="40">
        <f t="shared" si="69"/>
        <v>94.718604566429306</v>
      </c>
    </row>
    <row r="83" spans="17:46" x14ac:dyDescent="0.25">
      <c r="Q83">
        <v>76</v>
      </c>
      <c r="R83" s="39">
        <f t="shared" si="45"/>
        <v>30</v>
      </c>
      <c r="S83" s="37">
        <f t="shared" si="46"/>
        <v>1.0133333333333334</v>
      </c>
      <c r="T83" s="37">
        <f t="shared" si="47"/>
        <v>24</v>
      </c>
      <c r="U83" s="40">
        <f t="shared" si="48"/>
        <v>1.4074074074074074</v>
      </c>
      <c r="V83" s="39">
        <f t="shared" si="49"/>
        <v>2</v>
      </c>
      <c r="W83" s="37">
        <f t="shared" si="50"/>
        <v>0.19999999999999996</v>
      </c>
      <c r="X83" s="40">
        <f t="shared" si="51"/>
        <v>0.8</v>
      </c>
      <c r="Y83" s="39">
        <f t="shared" si="52"/>
        <v>0.94117647058823517</v>
      </c>
      <c r="Z83" s="37">
        <f t="shared" si="71"/>
        <v>1.877995642701525</v>
      </c>
      <c r="AA83" s="37">
        <f t="shared" si="72"/>
        <v>1.4333922606266289</v>
      </c>
      <c r="AB83" s="37">
        <v>0</v>
      </c>
      <c r="AC83" s="37">
        <f t="shared" si="53"/>
        <v>4.1092267456486357E-2</v>
      </c>
      <c r="AD83" s="40">
        <f t="shared" si="62"/>
        <v>4.1092267456486357E-2</v>
      </c>
      <c r="AE83" s="39">
        <f t="shared" si="70"/>
        <v>0.28148148148148144</v>
      </c>
      <c r="AF83" s="37">
        <f t="shared" si="63"/>
        <v>0.64103250663664735</v>
      </c>
      <c r="AG83" s="37">
        <f t="shared" si="54"/>
        <v>1.8902443029983711E-3</v>
      </c>
      <c r="AH83" s="37">
        <f t="shared" si="55"/>
        <v>0.61534316111536058</v>
      </c>
      <c r="AI83" s="40">
        <f t="shared" si="64"/>
        <v>0.61723340541835892</v>
      </c>
      <c r="AJ83" s="39">
        <f t="shared" si="65"/>
        <v>1.125925925925926</v>
      </c>
      <c r="AK83" s="37">
        <f t="shared" si="56"/>
        <v>1.2820650132732949</v>
      </c>
      <c r="AL83" s="37">
        <f t="shared" si="57"/>
        <v>0.58773333333333333</v>
      </c>
      <c r="AM83" s="37">
        <f t="shared" si="58"/>
        <v>0.22935</v>
      </c>
      <c r="AN83" s="40">
        <f t="shared" si="66"/>
        <v>0.81708333333333338</v>
      </c>
      <c r="AO83" s="39">
        <f t="shared" si="59"/>
        <v>4.1092267456486328E-3</v>
      </c>
      <c r="AP83" s="37">
        <f t="shared" si="60"/>
        <v>0.19946250000000001</v>
      </c>
      <c r="AQ83" s="40">
        <f t="shared" si="61"/>
        <v>1.0800000000000001E-2</v>
      </c>
      <c r="AR83" s="39">
        <f t="shared" si="67"/>
        <v>1.6897807329538272</v>
      </c>
      <c r="AS83" s="37">
        <f t="shared" si="68"/>
        <v>30.400000000000002</v>
      </c>
      <c r="AT83" s="40">
        <f t="shared" si="69"/>
        <v>94.734209164543941</v>
      </c>
    </row>
    <row r="84" spans="17:46" x14ac:dyDescent="0.25">
      <c r="Q84">
        <v>77</v>
      </c>
      <c r="R84" s="39">
        <f t="shared" si="45"/>
        <v>30</v>
      </c>
      <c r="S84" s="37">
        <f t="shared" si="46"/>
        <v>1.0266666666666668</v>
      </c>
      <c r="T84" s="37">
        <f t="shared" si="47"/>
        <v>24</v>
      </c>
      <c r="U84" s="40">
        <f t="shared" si="48"/>
        <v>1.425925925925926</v>
      </c>
      <c r="V84" s="39">
        <f t="shared" si="49"/>
        <v>2</v>
      </c>
      <c r="W84" s="37">
        <f t="shared" si="50"/>
        <v>0.19999999999999996</v>
      </c>
      <c r="X84" s="40">
        <f t="shared" si="51"/>
        <v>0.8</v>
      </c>
      <c r="Y84" s="39">
        <f t="shared" si="52"/>
        <v>0.94117647058823517</v>
      </c>
      <c r="Z84" s="37">
        <f t="shared" si="71"/>
        <v>1.8965141612200436</v>
      </c>
      <c r="AA84" s="37">
        <f t="shared" si="72"/>
        <v>1.4515793153068786</v>
      </c>
      <c r="AB84" s="37">
        <v>0</v>
      </c>
      <c r="AC84" s="37">
        <f t="shared" si="53"/>
        <v>4.2141650172535725E-2</v>
      </c>
      <c r="AD84" s="40">
        <f t="shared" si="62"/>
        <v>4.2141650172535725E-2</v>
      </c>
      <c r="AE84" s="39">
        <f t="shared" si="70"/>
        <v>0.28518518518518515</v>
      </c>
      <c r="AF84" s="37">
        <f t="shared" si="63"/>
        <v>0.64916600475175623</v>
      </c>
      <c r="AG84" s="37">
        <f t="shared" si="54"/>
        <v>1.9385159079366432E-3</v>
      </c>
      <c r="AH84" s="37">
        <f t="shared" si="55"/>
        <v>0.62343978165635205</v>
      </c>
      <c r="AI84" s="40">
        <f t="shared" si="64"/>
        <v>0.62537829756428864</v>
      </c>
      <c r="AJ84" s="39">
        <f t="shared" si="65"/>
        <v>1.1407407407407408</v>
      </c>
      <c r="AK84" s="37">
        <f t="shared" si="56"/>
        <v>1.2983320095035127</v>
      </c>
      <c r="AL84" s="37">
        <f t="shared" si="57"/>
        <v>0.5954666666666667</v>
      </c>
      <c r="AM84" s="37">
        <f t="shared" si="58"/>
        <v>0.22935</v>
      </c>
      <c r="AN84" s="40">
        <f t="shared" si="66"/>
        <v>0.82481666666666675</v>
      </c>
      <c r="AO84" s="39">
        <f t="shared" si="59"/>
        <v>4.2141650172535725E-3</v>
      </c>
      <c r="AP84" s="37">
        <f t="shared" si="60"/>
        <v>0.19946250000000001</v>
      </c>
      <c r="AQ84" s="40">
        <f t="shared" si="61"/>
        <v>1.0800000000000001E-2</v>
      </c>
      <c r="AR84" s="39">
        <f t="shared" si="67"/>
        <v>1.7068132794207449</v>
      </c>
      <c r="AS84" s="37">
        <f t="shared" si="68"/>
        <v>30.800000000000004</v>
      </c>
      <c r="AT84" s="40">
        <f t="shared" si="69"/>
        <v>94.74936757180906</v>
      </c>
    </row>
    <row r="85" spans="17:46" x14ac:dyDescent="0.25">
      <c r="Q85">
        <v>78</v>
      </c>
      <c r="R85" s="39">
        <f t="shared" si="45"/>
        <v>30</v>
      </c>
      <c r="S85" s="37">
        <f t="shared" si="46"/>
        <v>1.04</v>
      </c>
      <c r="T85" s="37">
        <f t="shared" si="47"/>
        <v>24</v>
      </c>
      <c r="U85" s="40">
        <f t="shared" si="48"/>
        <v>1.4444444444444444</v>
      </c>
      <c r="V85" s="39">
        <f t="shared" si="49"/>
        <v>2</v>
      </c>
      <c r="W85" s="37">
        <f t="shared" si="50"/>
        <v>0.19999999999999996</v>
      </c>
      <c r="X85" s="40">
        <f t="shared" si="51"/>
        <v>0.8</v>
      </c>
      <c r="Y85" s="39">
        <f t="shared" si="52"/>
        <v>0.94117647058823517</v>
      </c>
      <c r="Z85" s="37">
        <f t="shared" si="71"/>
        <v>1.9150326797385619</v>
      </c>
      <c r="AA85" s="37">
        <f t="shared" si="72"/>
        <v>1.4697746478577922</v>
      </c>
      <c r="AB85" s="37">
        <v>0</v>
      </c>
      <c r="AC85" s="37">
        <f t="shared" si="53"/>
        <v>4.3204750309709938E-2</v>
      </c>
      <c r="AD85" s="40">
        <f t="shared" si="62"/>
        <v>4.3204750309709938E-2</v>
      </c>
      <c r="AE85" s="39">
        <f t="shared" si="70"/>
        <v>0.28888888888888881</v>
      </c>
      <c r="AF85" s="37">
        <f t="shared" si="63"/>
        <v>0.65730320484316762</v>
      </c>
      <c r="AG85" s="37">
        <f t="shared" si="54"/>
        <v>1.987418514246656E-3</v>
      </c>
      <c r="AH85" s="37">
        <f t="shared" si="55"/>
        <v>0.63153640219734364</v>
      </c>
      <c r="AI85" s="40">
        <f t="shared" si="64"/>
        <v>0.6335238207115903</v>
      </c>
      <c r="AJ85" s="39">
        <f t="shared" si="65"/>
        <v>1.1555555555555557</v>
      </c>
      <c r="AK85" s="37">
        <f t="shared" si="56"/>
        <v>1.3146064096863355</v>
      </c>
      <c r="AL85" s="37">
        <f t="shared" si="57"/>
        <v>0.60319999999999996</v>
      </c>
      <c r="AM85" s="37">
        <f t="shared" si="58"/>
        <v>0.22935</v>
      </c>
      <c r="AN85" s="40">
        <f t="shared" si="66"/>
        <v>0.8325499999999999</v>
      </c>
      <c r="AO85" s="39">
        <f t="shared" si="59"/>
        <v>4.3204750309709921E-3</v>
      </c>
      <c r="AP85" s="37">
        <f t="shared" si="60"/>
        <v>0.19946250000000001</v>
      </c>
      <c r="AQ85" s="40">
        <f t="shared" si="61"/>
        <v>1.0800000000000001E-2</v>
      </c>
      <c r="AR85" s="39">
        <f t="shared" si="67"/>
        <v>1.7238615460522713</v>
      </c>
      <c r="AS85" s="37">
        <f t="shared" si="68"/>
        <v>31.200000000000003</v>
      </c>
      <c r="AT85" s="40">
        <f t="shared" si="69"/>
        <v>94.764096721640584</v>
      </c>
    </row>
    <row r="86" spans="17:46" x14ac:dyDescent="0.25">
      <c r="Q86">
        <v>79</v>
      </c>
      <c r="R86" s="39">
        <f t="shared" si="45"/>
        <v>30</v>
      </c>
      <c r="S86" s="37">
        <f t="shared" si="46"/>
        <v>1.0533333333333335</v>
      </c>
      <c r="T86" s="37">
        <f t="shared" si="47"/>
        <v>24</v>
      </c>
      <c r="U86" s="40">
        <f t="shared" si="48"/>
        <v>1.462962962962963</v>
      </c>
      <c r="V86" s="39">
        <f t="shared" si="49"/>
        <v>2</v>
      </c>
      <c r="W86" s="37">
        <f t="shared" si="50"/>
        <v>0.19999999999999996</v>
      </c>
      <c r="X86" s="40">
        <f t="shared" si="51"/>
        <v>0.8</v>
      </c>
      <c r="Y86" s="39">
        <f t="shared" si="52"/>
        <v>0.94117647058823517</v>
      </c>
      <c r="Z86" s="37">
        <f t="shared" si="71"/>
        <v>1.9335511982570806</v>
      </c>
      <c r="AA86" s="37">
        <f t="shared" si="72"/>
        <v>1.4879779546083503</v>
      </c>
      <c r="AB86" s="37">
        <v>0</v>
      </c>
      <c r="AC86" s="37">
        <f t="shared" si="53"/>
        <v>4.4281567868008999E-2</v>
      </c>
      <c r="AD86" s="40">
        <f t="shared" si="62"/>
        <v>4.4281567868008999E-2</v>
      </c>
      <c r="AE86" s="39">
        <f t="shared" si="70"/>
        <v>0.29259259259259252</v>
      </c>
      <c r="AF86" s="37">
        <f t="shared" si="63"/>
        <v>0.66544397110507336</v>
      </c>
      <c r="AG86" s="37">
        <f t="shared" si="54"/>
        <v>2.0369521219284125E-3</v>
      </c>
      <c r="AH86" s="37">
        <f t="shared" si="55"/>
        <v>0.63963302273833533</v>
      </c>
      <c r="AI86" s="40">
        <f t="shared" si="64"/>
        <v>0.64166997486026378</v>
      </c>
      <c r="AJ86" s="39">
        <f t="shared" si="65"/>
        <v>1.1703703703703705</v>
      </c>
      <c r="AK86" s="37">
        <f t="shared" si="56"/>
        <v>1.3308879422101469</v>
      </c>
      <c r="AL86" s="37">
        <f t="shared" si="57"/>
        <v>0.61093333333333333</v>
      </c>
      <c r="AM86" s="37">
        <f t="shared" si="58"/>
        <v>0.22935</v>
      </c>
      <c r="AN86" s="40">
        <f t="shared" si="66"/>
        <v>0.84028333333333327</v>
      </c>
      <c r="AO86" s="39">
        <f t="shared" si="59"/>
        <v>4.4281567868008969E-3</v>
      </c>
      <c r="AP86" s="37">
        <f t="shared" si="60"/>
        <v>0.19946250000000001</v>
      </c>
      <c r="AQ86" s="40">
        <f t="shared" si="61"/>
        <v>1.0800000000000001E-2</v>
      </c>
      <c r="AR86" s="39">
        <f t="shared" si="67"/>
        <v>1.740925532848407</v>
      </c>
      <c r="AS86" s="37">
        <f t="shared" si="68"/>
        <v>31.600000000000005</v>
      </c>
      <c r="AT86" s="40">
        <f t="shared" si="69"/>
        <v>94.778412701431463</v>
      </c>
    </row>
    <row r="87" spans="17:46" x14ac:dyDescent="0.25">
      <c r="Q87">
        <v>80</v>
      </c>
      <c r="R87" s="39">
        <f t="shared" si="45"/>
        <v>30</v>
      </c>
      <c r="S87" s="37">
        <f t="shared" si="46"/>
        <v>1.0666666666666667</v>
      </c>
      <c r="T87" s="37">
        <f t="shared" si="47"/>
        <v>24</v>
      </c>
      <c r="U87" s="40">
        <f t="shared" si="48"/>
        <v>1.4814814814814814</v>
      </c>
      <c r="V87" s="39">
        <f t="shared" si="49"/>
        <v>2</v>
      </c>
      <c r="W87" s="37">
        <f t="shared" si="50"/>
        <v>0.19999999999999996</v>
      </c>
      <c r="X87" s="40">
        <f t="shared" si="51"/>
        <v>0.8</v>
      </c>
      <c r="Y87" s="39">
        <f t="shared" si="52"/>
        <v>0.94117647058823517</v>
      </c>
      <c r="Z87" s="37">
        <f t="shared" si="71"/>
        <v>1.9520697167755989</v>
      </c>
      <c r="AA87" s="37">
        <f t="shared" si="72"/>
        <v>1.506188946437877</v>
      </c>
      <c r="AB87" s="37">
        <v>0</v>
      </c>
      <c r="AC87" s="37">
        <f t="shared" si="53"/>
        <v>4.5372102847432844E-2</v>
      </c>
      <c r="AD87" s="40">
        <f t="shared" si="62"/>
        <v>4.5372102847432844E-2</v>
      </c>
      <c r="AE87" s="39">
        <f t="shared" si="70"/>
        <v>0.29629629629629622</v>
      </c>
      <c r="AF87" s="37">
        <f t="shared" si="63"/>
        <v>0.67358817423877637</v>
      </c>
      <c r="AG87" s="37">
        <f t="shared" si="54"/>
        <v>2.0871167309819095E-3</v>
      </c>
      <c r="AH87" s="37">
        <f t="shared" si="55"/>
        <v>0.64772964327932681</v>
      </c>
      <c r="AI87" s="40">
        <f t="shared" si="64"/>
        <v>0.64981676001030875</v>
      </c>
      <c r="AJ87" s="39">
        <f t="shared" si="65"/>
        <v>1.1851851851851851</v>
      </c>
      <c r="AK87" s="37">
        <f t="shared" si="56"/>
        <v>1.347176348477553</v>
      </c>
      <c r="AL87" s="37">
        <f t="shared" si="57"/>
        <v>0.61866666666666659</v>
      </c>
      <c r="AM87" s="37">
        <f t="shared" si="58"/>
        <v>0.22935</v>
      </c>
      <c r="AN87" s="40">
        <f t="shared" si="66"/>
        <v>0.84801666666666664</v>
      </c>
      <c r="AO87" s="39">
        <f t="shared" si="59"/>
        <v>4.5372102847432818E-3</v>
      </c>
      <c r="AP87" s="37">
        <f t="shared" si="60"/>
        <v>0.19946250000000001</v>
      </c>
      <c r="AQ87" s="40">
        <f t="shared" si="61"/>
        <v>1.0800000000000001E-2</v>
      </c>
      <c r="AR87" s="39">
        <f t="shared" si="67"/>
        <v>1.7580052398091515</v>
      </c>
      <c r="AS87" s="37">
        <f t="shared" si="68"/>
        <v>32</v>
      </c>
      <c r="AT87" s="40">
        <f t="shared" si="69"/>
        <v>94.792330804735997</v>
      </c>
    </row>
    <row r="88" spans="17:46" x14ac:dyDescent="0.25">
      <c r="Q88">
        <v>81</v>
      </c>
      <c r="R88" s="39">
        <f t="shared" si="45"/>
        <v>30</v>
      </c>
      <c r="S88" s="37">
        <f t="shared" si="46"/>
        <v>1.08</v>
      </c>
      <c r="T88" s="37">
        <f t="shared" si="47"/>
        <v>24</v>
      </c>
      <c r="U88" s="40">
        <f t="shared" si="48"/>
        <v>1.5000000000000002</v>
      </c>
      <c r="V88" s="39">
        <f t="shared" si="49"/>
        <v>2</v>
      </c>
      <c r="W88" s="37">
        <f t="shared" si="50"/>
        <v>0.19999999999999996</v>
      </c>
      <c r="X88" s="40">
        <f t="shared" si="51"/>
        <v>0.8</v>
      </c>
      <c r="Y88" s="39">
        <f t="shared" si="52"/>
        <v>0.94117647058823517</v>
      </c>
      <c r="Z88" s="37">
        <f t="shared" si="71"/>
        <v>1.9705882352941178</v>
      </c>
      <c r="AA88" s="37">
        <f t="shared" si="72"/>
        <v>1.5244073479221616</v>
      </c>
      <c r="AB88" s="37">
        <v>0</v>
      </c>
      <c r="AC88" s="37">
        <f t="shared" si="53"/>
        <v>4.6476355247981563E-2</v>
      </c>
      <c r="AD88" s="40">
        <f t="shared" si="62"/>
        <v>4.6476355247981563E-2</v>
      </c>
      <c r="AE88" s="39">
        <f t="shared" si="70"/>
        <v>0.3</v>
      </c>
      <c r="AF88" s="37">
        <f t="shared" si="63"/>
        <v>0.6817356910708251</v>
      </c>
      <c r="AG88" s="37">
        <f t="shared" si="54"/>
        <v>2.1379123414071513E-3</v>
      </c>
      <c r="AH88" s="37">
        <f t="shared" si="55"/>
        <v>0.65582626382031861</v>
      </c>
      <c r="AI88" s="40">
        <f t="shared" si="64"/>
        <v>0.65796417616172576</v>
      </c>
      <c r="AJ88" s="39">
        <f t="shared" si="65"/>
        <v>1.2000000000000002</v>
      </c>
      <c r="AK88" s="37">
        <f t="shared" si="56"/>
        <v>1.3634713821416504</v>
      </c>
      <c r="AL88" s="37">
        <f t="shared" si="57"/>
        <v>0.62639999999999996</v>
      </c>
      <c r="AM88" s="37">
        <f t="shared" si="58"/>
        <v>0.22935</v>
      </c>
      <c r="AN88" s="40">
        <f t="shared" si="66"/>
        <v>0.85575000000000001</v>
      </c>
      <c r="AO88" s="39">
        <f t="shared" si="59"/>
        <v>4.6476355247981552E-3</v>
      </c>
      <c r="AP88" s="37">
        <f t="shared" si="60"/>
        <v>0.19946250000000001</v>
      </c>
      <c r="AQ88" s="40">
        <f t="shared" si="61"/>
        <v>1.0800000000000001E-2</v>
      </c>
      <c r="AR88" s="39">
        <f t="shared" si="67"/>
        <v>1.7751006669345055</v>
      </c>
      <c r="AS88" s="37">
        <f t="shared" si="68"/>
        <v>32.400000000000006</v>
      </c>
      <c r="AT88" s="40">
        <f t="shared" si="69"/>
        <v>94.805865579638308</v>
      </c>
    </row>
    <row r="89" spans="17:46" x14ac:dyDescent="0.25">
      <c r="Q89">
        <v>82</v>
      </c>
      <c r="R89" s="39">
        <f t="shared" si="45"/>
        <v>30</v>
      </c>
      <c r="S89" s="37">
        <f t="shared" si="46"/>
        <v>1.0933333333333335</v>
      </c>
      <c r="T89" s="37">
        <f t="shared" si="47"/>
        <v>24</v>
      </c>
      <c r="U89" s="40">
        <f t="shared" si="48"/>
        <v>1.5185185185185186</v>
      </c>
      <c r="V89" s="39">
        <f t="shared" si="49"/>
        <v>2</v>
      </c>
      <c r="W89" s="37">
        <f t="shared" si="50"/>
        <v>0.19999999999999996</v>
      </c>
      <c r="X89" s="40">
        <f t="shared" si="51"/>
        <v>0.8</v>
      </c>
      <c r="Y89" s="39">
        <f t="shared" si="52"/>
        <v>0.94117647058823517</v>
      </c>
      <c r="Z89" s="37">
        <f t="shared" si="71"/>
        <v>1.9891067538126361</v>
      </c>
      <c r="AA89" s="37">
        <f t="shared" si="72"/>
        <v>1.5426328965384972</v>
      </c>
      <c r="AB89" s="37">
        <v>0</v>
      </c>
      <c r="AC89" s="37">
        <f t="shared" si="53"/>
        <v>4.759432506965508E-2</v>
      </c>
      <c r="AD89" s="40">
        <f t="shared" si="62"/>
        <v>4.759432506965508E-2</v>
      </c>
      <c r="AE89" s="39">
        <f t="shared" si="70"/>
        <v>0.30370370370370364</v>
      </c>
      <c r="AF89" s="37">
        <f t="shared" si="63"/>
        <v>0.68988640419749581</v>
      </c>
      <c r="AG89" s="37">
        <f t="shared" si="54"/>
        <v>2.1893389532041327E-3</v>
      </c>
      <c r="AH89" s="37">
        <f t="shared" si="55"/>
        <v>0.66392288436130997</v>
      </c>
      <c r="AI89" s="40">
        <f t="shared" si="64"/>
        <v>0.66611222331451414</v>
      </c>
      <c r="AJ89" s="39">
        <f t="shared" si="65"/>
        <v>1.214814814814815</v>
      </c>
      <c r="AK89" s="37">
        <f t="shared" si="56"/>
        <v>1.3797728083949918</v>
      </c>
      <c r="AL89" s="37">
        <f t="shared" si="57"/>
        <v>0.63413333333333333</v>
      </c>
      <c r="AM89" s="37">
        <f t="shared" si="58"/>
        <v>0.22935</v>
      </c>
      <c r="AN89" s="40">
        <f t="shared" si="66"/>
        <v>0.86348333333333338</v>
      </c>
      <c r="AO89" s="39">
        <f t="shared" si="59"/>
        <v>4.7594325069655061E-3</v>
      </c>
      <c r="AP89" s="37">
        <f t="shared" si="60"/>
        <v>0.19946250000000001</v>
      </c>
      <c r="AQ89" s="40">
        <f t="shared" si="61"/>
        <v>1.0800000000000001E-2</v>
      </c>
      <c r="AR89" s="39">
        <f t="shared" si="67"/>
        <v>1.7922118142244683</v>
      </c>
      <c r="AS89" s="37">
        <f t="shared" si="68"/>
        <v>32.800000000000004</v>
      </c>
      <c r="AT89" s="40">
        <f t="shared" si="69"/>
        <v>94.81903087362717</v>
      </c>
    </row>
    <row r="90" spans="17:46" x14ac:dyDescent="0.25">
      <c r="Q90">
        <v>83</v>
      </c>
      <c r="R90" s="39">
        <f t="shared" si="45"/>
        <v>30</v>
      </c>
      <c r="S90" s="37">
        <f t="shared" si="46"/>
        <v>1.1066666666666667</v>
      </c>
      <c r="T90" s="37">
        <f t="shared" si="47"/>
        <v>24</v>
      </c>
      <c r="U90" s="40">
        <f t="shared" si="48"/>
        <v>1.537037037037037</v>
      </c>
      <c r="V90" s="39">
        <f t="shared" si="49"/>
        <v>2</v>
      </c>
      <c r="W90" s="37">
        <f t="shared" si="50"/>
        <v>0.19999999999999996</v>
      </c>
      <c r="X90" s="40">
        <f t="shared" si="51"/>
        <v>0.8</v>
      </c>
      <c r="Y90" s="39">
        <f t="shared" si="52"/>
        <v>0.94117647058823517</v>
      </c>
      <c r="Z90" s="37">
        <f t="shared" si="71"/>
        <v>2.0076252723311545</v>
      </c>
      <c r="AA90" s="37">
        <f t="shared" si="72"/>
        <v>1.5608653419250076</v>
      </c>
      <c r="AB90" s="37">
        <v>0</v>
      </c>
      <c r="AC90" s="37">
        <f t="shared" si="53"/>
        <v>4.8726012312453416E-2</v>
      </c>
      <c r="AD90" s="40">
        <f t="shared" si="62"/>
        <v>4.8726012312453416E-2</v>
      </c>
      <c r="AE90" s="39">
        <f t="shared" si="70"/>
        <v>0.30740740740740735</v>
      </c>
      <c r="AF90" s="37">
        <f t="shared" si="63"/>
        <v>0.69804020165355385</v>
      </c>
      <c r="AG90" s="37">
        <f t="shared" si="54"/>
        <v>2.2413965663728567E-3</v>
      </c>
      <c r="AH90" s="37">
        <f t="shared" si="55"/>
        <v>0.67201950490230156</v>
      </c>
      <c r="AI90" s="40">
        <f t="shared" si="64"/>
        <v>0.67426090146867446</v>
      </c>
      <c r="AJ90" s="39">
        <f t="shared" si="65"/>
        <v>1.2296296296296296</v>
      </c>
      <c r="AK90" s="37">
        <f t="shared" si="56"/>
        <v>1.3960804033071079</v>
      </c>
      <c r="AL90" s="37">
        <f t="shared" si="57"/>
        <v>0.64186666666666659</v>
      </c>
      <c r="AM90" s="37">
        <f t="shared" si="58"/>
        <v>0.22935</v>
      </c>
      <c r="AN90" s="40">
        <f t="shared" si="66"/>
        <v>0.87121666666666653</v>
      </c>
      <c r="AO90" s="39">
        <f t="shared" si="59"/>
        <v>4.8726012312453413E-3</v>
      </c>
      <c r="AP90" s="37">
        <f t="shared" si="60"/>
        <v>0.19946250000000001</v>
      </c>
      <c r="AQ90" s="40">
        <f t="shared" si="61"/>
        <v>1.0800000000000001E-2</v>
      </c>
      <c r="AR90" s="39">
        <f t="shared" si="67"/>
        <v>1.8093386816790398</v>
      </c>
      <c r="AS90" s="37">
        <f t="shared" si="68"/>
        <v>33.200000000000003</v>
      </c>
      <c r="AT90" s="40">
        <f t="shared" si="69"/>
        <v>94.831839875267647</v>
      </c>
    </row>
    <row r="91" spans="17:46" x14ac:dyDescent="0.25">
      <c r="Q91">
        <v>84</v>
      </c>
      <c r="R91" s="39">
        <f t="shared" si="45"/>
        <v>30</v>
      </c>
      <c r="S91" s="37">
        <f t="shared" si="46"/>
        <v>1.1200000000000001</v>
      </c>
      <c r="T91" s="37">
        <f t="shared" si="47"/>
        <v>24</v>
      </c>
      <c r="U91" s="40">
        <f t="shared" si="48"/>
        <v>1.5555555555555556</v>
      </c>
      <c r="V91" s="39">
        <f t="shared" si="49"/>
        <v>2</v>
      </c>
      <c r="W91" s="37">
        <f t="shared" si="50"/>
        <v>0.19999999999999996</v>
      </c>
      <c r="X91" s="40">
        <f t="shared" si="51"/>
        <v>0.8</v>
      </c>
      <c r="Y91" s="39">
        <f t="shared" si="52"/>
        <v>0.94117647058823517</v>
      </c>
      <c r="Z91" s="37">
        <f t="shared" si="71"/>
        <v>2.0261437908496731</v>
      </c>
      <c r="AA91" s="37">
        <f t="shared" si="72"/>
        <v>1.579104445190004</v>
      </c>
      <c r="AB91" s="37">
        <v>0</v>
      </c>
      <c r="AC91" s="37">
        <f t="shared" si="53"/>
        <v>4.9871416976376606E-2</v>
      </c>
      <c r="AD91" s="40">
        <f t="shared" si="62"/>
        <v>4.9871416976376606E-2</v>
      </c>
      <c r="AE91" s="39">
        <f t="shared" si="70"/>
        <v>0.31111111111111106</v>
      </c>
      <c r="AF91" s="37">
        <f t="shared" si="63"/>
        <v>0.70619697660338787</v>
      </c>
      <c r="AG91" s="37">
        <f t="shared" si="54"/>
        <v>2.2940851809133233E-3</v>
      </c>
      <c r="AH91" s="37">
        <f t="shared" si="55"/>
        <v>0.68011612544329325</v>
      </c>
      <c r="AI91" s="40">
        <f t="shared" si="64"/>
        <v>0.68241021062420659</v>
      </c>
      <c r="AJ91" s="39">
        <f t="shared" si="65"/>
        <v>1.2444444444444445</v>
      </c>
      <c r="AK91" s="37">
        <f t="shared" si="56"/>
        <v>1.412393953206776</v>
      </c>
      <c r="AL91" s="37">
        <f t="shared" si="57"/>
        <v>0.64960000000000007</v>
      </c>
      <c r="AM91" s="37">
        <f t="shared" si="58"/>
        <v>0.22935</v>
      </c>
      <c r="AN91" s="40">
        <f t="shared" si="66"/>
        <v>0.87895000000000012</v>
      </c>
      <c r="AO91" s="39">
        <f t="shared" si="59"/>
        <v>4.9871416976376599E-3</v>
      </c>
      <c r="AP91" s="37">
        <f t="shared" si="60"/>
        <v>0.19946250000000001</v>
      </c>
      <c r="AQ91" s="40">
        <f t="shared" si="61"/>
        <v>1.0800000000000001E-2</v>
      </c>
      <c r="AR91" s="39">
        <f t="shared" si="67"/>
        <v>1.8264812692982211</v>
      </c>
      <c r="AS91" s="37">
        <f t="shared" si="68"/>
        <v>33.6</v>
      </c>
      <c r="AT91" s="40">
        <f t="shared" si="69"/>
        <v>94.844305152933401</v>
      </c>
    </row>
    <row r="92" spans="17:46" x14ac:dyDescent="0.25">
      <c r="Q92">
        <v>85</v>
      </c>
      <c r="R92" s="39">
        <f t="shared" si="45"/>
        <v>30</v>
      </c>
      <c r="S92" s="37">
        <f t="shared" si="46"/>
        <v>1.1333333333333333</v>
      </c>
      <c r="T92" s="37">
        <f t="shared" si="47"/>
        <v>24</v>
      </c>
      <c r="U92" s="40">
        <f t="shared" si="48"/>
        <v>1.574074074074074</v>
      </c>
      <c r="V92" s="39">
        <f t="shared" si="49"/>
        <v>2</v>
      </c>
      <c r="W92" s="37">
        <f t="shared" si="50"/>
        <v>0.19999999999999996</v>
      </c>
      <c r="X92" s="40">
        <f t="shared" si="51"/>
        <v>0.8</v>
      </c>
      <c r="Y92" s="39">
        <f t="shared" si="52"/>
        <v>0.94117647058823517</v>
      </c>
      <c r="Z92" s="37">
        <f t="shared" si="71"/>
        <v>2.0446623093681917</v>
      </c>
      <c r="AA92" s="37">
        <f t="shared" si="72"/>
        <v>1.5973499782675149</v>
      </c>
      <c r="AB92" s="37">
        <v>0</v>
      </c>
      <c r="AC92" s="37">
        <f t="shared" si="53"/>
        <v>5.1030539061424608E-2</v>
      </c>
      <c r="AD92" s="40">
        <f t="shared" si="62"/>
        <v>5.1030539061424608E-2</v>
      </c>
      <c r="AE92" s="39">
        <f t="shared" si="70"/>
        <v>0.31481481481481471</v>
      </c>
      <c r="AF92" s="37">
        <f t="shared" si="63"/>
        <v>0.71435662705279501</v>
      </c>
      <c r="AG92" s="37">
        <f t="shared" si="54"/>
        <v>2.3474047968255318E-3</v>
      </c>
      <c r="AH92" s="37">
        <f t="shared" si="55"/>
        <v>0.68821274598428472</v>
      </c>
      <c r="AI92" s="40">
        <f t="shared" si="64"/>
        <v>0.69056015078111022</v>
      </c>
      <c r="AJ92" s="39">
        <f t="shared" si="65"/>
        <v>1.2592592592592593</v>
      </c>
      <c r="AK92" s="37">
        <f t="shared" si="56"/>
        <v>1.4287132541055902</v>
      </c>
      <c r="AL92" s="37">
        <f t="shared" si="57"/>
        <v>0.65733333333333333</v>
      </c>
      <c r="AM92" s="37">
        <f t="shared" si="58"/>
        <v>0.22935</v>
      </c>
      <c r="AN92" s="40">
        <f t="shared" si="66"/>
        <v>0.88668333333333327</v>
      </c>
      <c r="AO92" s="39">
        <f t="shared" si="59"/>
        <v>5.1030539061424612E-3</v>
      </c>
      <c r="AP92" s="37">
        <f t="shared" si="60"/>
        <v>0.19946250000000001</v>
      </c>
      <c r="AQ92" s="40">
        <f t="shared" si="61"/>
        <v>1.0800000000000001E-2</v>
      </c>
      <c r="AR92" s="39">
        <f t="shared" si="67"/>
        <v>1.8436395770820104</v>
      </c>
      <c r="AS92" s="37">
        <f t="shared" si="68"/>
        <v>34</v>
      </c>
      <c r="AT92" s="40">
        <f t="shared" si="69"/>
        <v>94.856438690838729</v>
      </c>
    </row>
    <row r="93" spans="17:46" x14ac:dyDescent="0.25">
      <c r="Q93">
        <v>86</v>
      </c>
      <c r="R93" s="39">
        <f t="shared" si="45"/>
        <v>30</v>
      </c>
      <c r="S93" s="37">
        <f t="shared" si="46"/>
        <v>1.1466666666666667</v>
      </c>
      <c r="T93" s="37">
        <f t="shared" si="47"/>
        <v>24</v>
      </c>
      <c r="U93" s="40">
        <f t="shared" si="48"/>
        <v>1.5925925925925923</v>
      </c>
      <c r="V93" s="39">
        <f t="shared" si="49"/>
        <v>2</v>
      </c>
      <c r="W93" s="37">
        <f t="shared" si="50"/>
        <v>0.19999999999999996</v>
      </c>
      <c r="X93" s="40">
        <f t="shared" si="51"/>
        <v>0.8</v>
      </c>
      <c r="Y93" s="39">
        <f t="shared" si="52"/>
        <v>0.94117647058823517</v>
      </c>
      <c r="Z93" s="37">
        <f t="shared" si="71"/>
        <v>2.0631808278867099</v>
      </c>
      <c r="AA93" s="37">
        <f t="shared" si="72"/>
        <v>1.6156017233154563</v>
      </c>
      <c r="AB93" s="37">
        <v>0</v>
      </c>
      <c r="AC93" s="37">
        <f t="shared" si="53"/>
        <v>5.2203378567597436E-2</v>
      </c>
      <c r="AD93" s="40">
        <f t="shared" si="62"/>
        <v>5.2203378567597436E-2</v>
      </c>
      <c r="AE93" s="39">
        <f t="shared" si="70"/>
        <v>0.31851851851851842</v>
      </c>
      <c r="AF93" s="37">
        <f t="shared" si="63"/>
        <v>0.7225190555798332</v>
      </c>
      <c r="AG93" s="37">
        <f t="shared" si="54"/>
        <v>2.4013554141094811E-3</v>
      </c>
      <c r="AH93" s="37">
        <f t="shared" si="55"/>
        <v>0.69630936652527631</v>
      </c>
      <c r="AI93" s="40">
        <f t="shared" si="64"/>
        <v>0.69871072193938577</v>
      </c>
      <c r="AJ93" s="39">
        <f t="shared" si="65"/>
        <v>1.2740740740740739</v>
      </c>
      <c r="AK93" s="37">
        <f t="shared" si="56"/>
        <v>1.4450381111596668</v>
      </c>
      <c r="AL93" s="37">
        <f t="shared" si="57"/>
        <v>0.66506666666666669</v>
      </c>
      <c r="AM93" s="37">
        <f t="shared" si="58"/>
        <v>0.22935</v>
      </c>
      <c r="AN93" s="40">
        <f t="shared" si="66"/>
        <v>0.89441666666666664</v>
      </c>
      <c r="AO93" s="39">
        <f t="shared" si="59"/>
        <v>5.2203378567597415E-3</v>
      </c>
      <c r="AP93" s="37">
        <f t="shared" si="60"/>
        <v>0.19946250000000001</v>
      </c>
      <c r="AQ93" s="40">
        <f t="shared" si="61"/>
        <v>1.0800000000000001E-2</v>
      </c>
      <c r="AR93" s="39">
        <f t="shared" si="67"/>
        <v>1.8608136050304096</v>
      </c>
      <c r="AS93" s="37">
        <f t="shared" si="68"/>
        <v>34.4</v>
      </c>
      <c r="AT93" s="40">
        <f t="shared" si="69"/>
        <v>94.868251922587149</v>
      </c>
    </row>
    <row r="94" spans="17:46" x14ac:dyDescent="0.25">
      <c r="Q94">
        <v>87</v>
      </c>
      <c r="R94" s="39">
        <f t="shared" si="45"/>
        <v>30</v>
      </c>
      <c r="S94" s="37">
        <f t="shared" si="46"/>
        <v>1.1600000000000001</v>
      </c>
      <c r="T94" s="37">
        <f t="shared" si="47"/>
        <v>24</v>
      </c>
      <c r="U94" s="40">
        <f t="shared" si="48"/>
        <v>1.6111111111111112</v>
      </c>
      <c r="V94" s="39">
        <f t="shared" si="49"/>
        <v>2</v>
      </c>
      <c r="W94" s="37">
        <f t="shared" si="50"/>
        <v>0.19999999999999996</v>
      </c>
      <c r="X94" s="40">
        <f t="shared" si="51"/>
        <v>0.8</v>
      </c>
      <c r="Y94" s="39">
        <f t="shared" si="52"/>
        <v>0.94117647058823517</v>
      </c>
      <c r="Z94" s="37">
        <f t="shared" si="71"/>
        <v>2.0816993464052289</v>
      </c>
      <c r="AA94" s="37">
        <f t="shared" si="72"/>
        <v>1.6338594721532071</v>
      </c>
      <c r="AB94" s="37">
        <v>0</v>
      </c>
      <c r="AC94" s="37">
        <f t="shared" si="53"/>
        <v>5.3389935494895138E-2</v>
      </c>
      <c r="AD94" s="40">
        <f t="shared" si="62"/>
        <v>5.3389935494895138E-2</v>
      </c>
      <c r="AE94" s="39">
        <f t="shared" si="70"/>
        <v>0.32222222222222219</v>
      </c>
      <c r="AF94" s="37">
        <f t="shared" si="63"/>
        <v>0.73068416908329914</v>
      </c>
      <c r="AG94" s="37">
        <f t="shared" si="54"/>
        <v>2.4559370327651756E-3</v>
      </c>
      <c r="AH94" s="37">
        <f t="shared" si="55"/>
        <v>0.704405987066268</v>
      </c>
      <c r="AI94" s="40">
        <f t="shared" si="64"/>
        <v>0.70686192409903315</v>
      </c>
      <c r="AJ94" s="39">
        <f t="shared" si="65"/>
        <v>1.288888888888889</v>
      </c>
      <c r="AK94" s="37">
        <f t="shared" si="56"/>
        <v>1.4613683381665983</v>
      </c>
      <c r="AL94" s="37">
        <f t="shared" si="57"/>
        <v>0.67280000000000006</v>
      </c>
      <c r="AM94" s="37">
        <f t="shared" si="58"/>
        <v>0.22935</v>
      </c>
      <c r="AN94" s="40">
        <f t="shared" si="66"/>
        <v>0.90215000000000001</v>
      </c>
      <c r="AO94" s="39">
        <f t="shared" si="59"/>
        <v>5.3389935494895123E-3</v>
      </c>
      <c r="AP94" s="37">
        <f t="shared" si="60"/>
        <v>0.19946250000000001</v>
      </c>
      <c r="AQ94" s="40">
        <f t="shared" si="61"/>
        <v>1.0800000000000001E-2</v>
      </c>
      <c r="AR94" s="39">
        <f t="shared" si="67"/>
        <v>1.8780033531434179</v>
      </c>
      <c r="AS94" s="37">
        <f t="shared" si="68"/>
        <v>34.800000000000004</v>
      </c>
      <c r="AT94" s="40">
        <f t="shared" si="69"/>
        <v>94.879755762434471</v>
      </c>
    </row>
    <row r="95" spans="17:46" x14ac:dyDescent="0.25">
      <c r="Q95">
        <v>88</v>
      </c>
      <c r="R95" s="39">
        <f t="shared" si="45"/>
        <v>30</v>
      </c>
      <c r="S95" s="37">
        <f t="shared" si="46"/>
        <v>1.1733333333333333</v>
      </c>
      <c r="T95" s="37">
        <f t="shared" si="47"/>
        <v>24</v>
      </c>
      <c r="U95" s="40">
        <f t="shared" si="48"/>
        <v>1.6296296296296298</v>
      </c>
      <c r="V95" s="39">
        <f t="shared" si="49"/>
        <v>2</v>
      </c>
      <c r="W95" s="37">
        <f t="shared" si="50"/>
        <v>0.19999999999999996</v>
      </c>
      <c r="X95" s="40">
        <f t="shared" si="51"/>
        <v>0.8</v>
      </c>
      <c r="Y95" s="39">
        <f t="shared" si="52"/>
        <v>0.94117647058823517</v>
      </c>
      <c r="Z95" s="37">
        <f t="shared" si="71"/>
        <v>2.1002178649237475</v>
      </c>
      <c r="AA95" s="37">
        <f t="shared" si="72"/>
        <v>1.6521230257356387</v>
      </c>
      <c r="AB95" s="37">
        <v>0</v>
      </c>
      <c r="AC95" s="37">
        <f t="shared" si="53"/>
        <v>5.4590209843317646E-2</v>
      </c>
      <c r="AD95" s="40">
        <f t="shared" si="62"/>
        <v>5.4590209843317646E-2</v>
      </c>
      <c r="AE95" s="39">
        <f t="shared" si="70"/>
        <v>0.3259259259259259</v>
      </c>
      <c r="AF95" s="37">
        <f t="shared" si="63"/>
        <v>0.73885187854750445</v>
      </c>
      <c r="AG95" s="37">
        <f t="shared" si="54"/>
        <v>2.5111496527926106E-3</v>
      </c>
      <c r="AH95" s="37">
        <f t="shared" si="55"/>
        <v>0.71250260760725959</v>
      </c>
      <c r="AI95" s="40">
        <f t="shared" si="64"/>
        <v>0.71501375726005223</v>
      </c>
      <c r="AJ95" s="39">
        <f t="shared" si="65"/>
        <v>1.3037037037037038</v>
      </c>
      <c r="AK95" s="37">
        <f t="shared" si="56"/>
        <v>1.4777037570950091</v>
      </c>
      <c r="AL95" s="37">
        <f t="shared" si="57"/>
        <v>0.68053333333333332</v>
      </c>
      <c r="AM95" s="37">
        <f t="shared" si="58"/>
        <v>0.22935</v>
      </c>
      <c r="AN95" s="40">
        <f t="shared" si="66"/>
        <v>0.90988333333333338</v>
      </c>
      <c r="AO95" s="39">
        <f t="shared" si="59"/>
        <v>5.459020984331763E-3</v>
      </c>
      <c r="AP95" s="37">
        <f t="shared" si="60"/>
        <v>0.19946250000000001</v>
      </c>
      <c r="AQ95" s="40">
        <f t="shared" si="61"/>
        <v>1.0800000000000001E-2</v>
      </c>
      <c r="AR95" s="39">
        <f t="shared" si="67"/>
        <v>1.895208821421035</v>
      </c>
      <c r="AS95" s="37">
        <f t="shared" si="68"/>
        <v>35.200000000000003</v>
      </c>
      <c r="AT95" s="40">
        <f t="shared" si="69"/>
        <v>94.890960634445534</v>
      </c>
    </row>
    <row r="96" spans="17:46" x14ac:dyDescent="0.25">
      <c r="Q96">
        <v>89</v>
      </c>
      <c r="R96" s="39">
        <f t="shared" si="45"/>
        <v>30</v>
      </c>
      <c r="S96" s="37">
        <f t="shared" si="46"/>
        <v>1.1866666666666668</v>
      </c>
      <c r="T96" s="37">
        <f t="shared" si="47"/>
        <v>24</v>
      </c>
      <c r="U96" s="40">
        <f t="shared" si="48"/>
        <v>1.6481481481481481</v>
      </c>
      <c r="V96" s="39">
        <f t="shared" si="49"/>
        <v>2</v>
      </c>
      <c r="W96" s="37">
        <f t="shared" si="50"/>
        <v>0.19999999999999996</v>
      </c>
      <c r="X96" s="40">
        <f t="shared" si="51"/>
        <v>0.8</v>
      </c>
      <c r="Y96" s="39">
        <f t="shared" si="52"/>
        <v>0.94117647058823517</v>
      </c>
      <c r="Z96" s="37">
        <f t="shared" si="71"/>
        <v>2.1187363834422657</v>
      </c>
      <c r="AA96" s="37">
        <f t="shared" si="72"/>
        <v>1.6703921936608921</v>
      </c>
      <c r="AB96" s="37">
        <v>0</v>
      </c>
      <c r="AC96" s="37">
        <f t="shared" si="53"/>
        <v>5.5804201612864944E-2</v>
      </c>
      <c r="AD96" s="40">
        <f t="shared" si="62"/>
        <v>5.5804201612864944E-2</v>
      </c>
      <c r="AE96" s="39">
        <f t="shared" si="70"/>
        <v>0.32962962962962955</v>
      </c>
      <c r="AF96" s="37">
        <f t="shared" si="63"/>
        <v>0.74702209882214954</v>
      </c>
      <c r="AG96" s="37">
        <f t="shared" si="54"/>
        <v>2.5669932741917869E-3</v>
      </c>
      <c r="AH96" s="37">
        <f t="shared" si="55"/>
        <v>0.72059922814825117</v>
      </c>
      <c r="AI96" s="40">
        <f t="shared" si="64"/>
        <v>0.72316622142244291</v>
      </c>
      <c r="AJ96" s="39">
        <f t="shared" si="65"/>
        <v>1.3185185185185186</v>
      </c>
      <c r="AK96" s="37">
        <f t="shared" si="56"/>
        <v>1.4940441976442993</v>
      </c>
      <c r="AL96" s="37">
        <f t="shared" si="57"/>
        <v>0.68826666666666669</v>
      </c>
      <c r="AM96" s="37">
        <f t="shared" si="58"/>
        <v>0.22935</v>
      </c>
      <c r="AN96" s="40">
        <f t="shared" si="66"/>
        <v>0.91761666666666675</v>
      </c>
      <c r="AO96" s="39">
        <f t="shared" si="59"/>
        <v>5.5804201612864937E-3</v>
      </c>
      <c r="AP96" s="37">
        <f t="shared" si="60"/>
        <v>0.19946250000000001</v>
      </c>
      <c r="AQ96" s="40">
        <f t="shared" si="61"/>
        <v>1.0800000000000001E-2</v>
      </c>
      <c r="AR96" s="39">
        <f t="shared" si="67"/>
        <v>1.9124300098632612</v>
      </c>
      <c r="AS96" s="37">
        <f t="shared" si="68"/>
        <v>35.6</v>
      </c>
      <c r="AT96" s="40">
        <f t="shared" si="69"/>
        <v>94.901876499708436</v>
      </c>
    </row>
    <row r="97" spans="17:46" x14ac:dyDescent="0.25">
      <c r="Q97">
        <v>90</v>
      </c>
      <c r="R97" s="39">
        <f t="shared" si="45"/>
        <v>30</v>
      </c>
      <c r="S97" s="37">
        <f t="shared" si="46"/>
        <v>1.2000000000000002</v>
      </c>
      <c r="T97" s="37">
        <f t="shared" si="47"/>
        <v>24</v>
      </c>
      <c r="U97" s="40">
        <f t="shared" si="48"/>
        <v>1.666666666666667</v>
      </c>
      <c r="V97" s="39">
        <f t="shared" si="49"/>
        <v>2</v>
      </c>
      <c r="W97" s="37">
        <f t="shared" si="50"/>
        <v>0.19999999999999996</v>
      </c>
      <c r="X97" s="40">
        <f t="shared" si="51"/>
        <v>0.8</v>
      </c>
      <c r="Y97" s="39">
        <f t="shared" si="52"/>
        <v>0.94117647058823517</v>
      </c>
      <c r="Z97" s="37">
        <f t="shared" si="71"/>
        <v>2.1372549019607847</v>
      </c>
      <c r="AA97" s="37">
        <f t="shared" si="72"/>
        <v>1.6886667937094209</v>
      </c>
      <c r="AB97" s="37">
        <v>0</v>
      </c>
      <c r="AC97" s="37">
        <f t="shared" si="53"/>
        <v>5.7031910803537117E-2</v>
      </c>
      <c r="AD97" s="40">
        <f t="shared" si="62"/>
        <v>5.7031910803537117E-2</v>
      </c>
      <c r="AE97" s="39">
        <f t="shared" si="70"/>
        <v>0.33333333333333331</v>
      </c>
      <c r="AF97" s="37">
        <f t="shared" si="63"/>
        <v>0.75519474841617573</v>
      </c>
      <c r="AG97" s="37">
        <f t="shared" si="54"/>
        <v>2.6234678969627064E-3</v>
      </c>
      <c r="AH97" s="37">
        <f t="shared" si="55"/>
        <v>0.72869584868924286</v>
      </c>
      <c r="AI97" s="40">
        <f t="shared" si="64"/>
        <v>0.73131931658620553</v>
      </c>
      <c r="AJ97" s="39">
        <f t="shared" si="65"/>
        <v>1.3333333333333337</v>
      </c>
      <c r="AK97" s="37">
        <f t="shared" si="56"/>
        <v>1.5103894968323519</v>
      </c>
      <c r="AL97" s="37">
        <f t="shared" si="57"/>
        <v>0.69600000000000006</v>
      </c>
      <c r="AM97" s="37">
        <f t="shared" si="58"/>
        <v>0.22935</v>
      </c>
      <c r="AN97" s="40">
        <f t="shared" si="66"/>
        <v>0.92535000000000012</v>
      </c>
      <c r="AO97" s="39">
        <f t="shared" si="59"/>
        <v>5.7031910803537105E-3</v>
      </c>
      <c r="AP97" s="37">
        <f t="shared" si="60"/>
        <v>0.19946250000000001</v>
      </c>
      <c r="AQ97" s="40">
        <f t="shared" si="61"/>
        <v>1.0800000000000001E-2</v>
      </c>
      <c r="AR97" s="39">
        <f t="shared" si="67"/>
        <v>1.9296669184700965</v>
      </c>
      <c r="AS97" s="37">
        <f t="shared" si="68"/>
        <v>36.000000000000007</v>
      </c>
      <c r="AT97" s="40">
        <f t="shared" si="69"/>
        <v>94.912512881755802</v>
      </c>
    </row>
    <row r="98" spans="17:46" x14ac:dyDescent="0.25">
      <c r="Q98">
        <v>91</v>
      </c>
      <c r="R98" s="39">
        <f t="shared" si="45"/>
        <v>30</v>
      </c>
      <c r="S98" s="37">
        <f t="shared" si="46"/>
        <v>1.2133333333333334</v>
      </c>
      <c r="T98" s="37">
        <f t="shared" si="47"/>
        <v>24</v>
      </c>
      <c r="U98" s="40">
        <f t="shared" si="48"/>
        <v>1.6851851851851851</v>
      </c>
      <c r="V98" s="39">
        <f t="shared" si="49"/>
        <v>2</v>
      </c>
      <c r="W98" s="37">
        <f t="shared" si="50"/>
        <v>0.19999999999999996</v>
      </c>
      <c r="X98" s="40">
        <f t="shared" si="51"/>
        <v>0.8</v>
      </c>
      <c r="Y98" s="39">
        <f t="shared" si="52"/>
        <v>0.94117647058823517</v>
      </c>
      <c r="Z98" s="37">
        <f t="shared" si="71"/>
        <v>2.1557734204793029</v>
      </c>
      <c r="AA98" s="37">
        <f t="shared" si="72"/>
        <v>1.7069466514120186</v>
      </c>
      <c r="AB98" s="37">
        <v>0</v>
      </c>
      <c r="AC98" s="37">
        <f t="shared" si="53"/>
        <v>5.8273337415334067E-2</v>
      </c>
      <c r="AD98" s="40">
        <f t="shared" si="62"/>
        <v>5.8273337415334067E-2</v>
      </c>
      <c r="AE98" s="39">
        <f t="shared" si="70"/>
        <v>0.33703703703703697</v>
      </c>
      <c r="AF98" s="37">
        <f t="shared" si="63"/>
        <v>0.76336974930458223</v>
      </c>
      <c r="AG98" s="37">
        <f t="shared" si="54"/>
        <v>2.6805735211053671E-3</v>
      </c>
      <c r="AH98" s="37">
        <f t="shared" si="55"/>
        <v>0.73679246923023423</v>
      </c>
      <c r="AI98" s="40">
        <f t="shared" si="64"/>
        <v>0.73947304275133963</v>
      </c>
      <c r="AJ98" s="39">
        <f t="shared" si="65"/>
        <v>1.3481481481481481</v>
      </c>
      <c r="AK98" s="37">
        <f t="shared" si="56"/>
        <v>1.5267394986091645</v>
      </c>
      <c r="AL98" s="37">
        <f t="shared" si="57"/>
        <v>0.70373333333333332</v>
      </c>
      <c r="AM98" s="37">
        <f t="shared" si="58"/>
        <v>0.22935</v>
      </c>
      <c r="AN98" s="40">
        <f t="shared" si="66"/>
        <v>0.93308333333333326</v>
      </c>
      <c r="AO98" s="39">
        <f t="shared" si="59"/>
        <v>5.8273337415334072E-3</v>
      </c>
      <c r="AP98" s="37">
        <f t="shared" si="60"/>
        <v>0.19946250000000001</v>
      </c>
      <c r="AQ98" s="40">
        <f t="shared" si="61"/>
        <v>1.0800000000000001E-2</v>
      </c>
      <c r="AR98" s="39">
        <f t="shared" si="67"/>
        <v>1.9469195472415406</v>
      </c>
      <c r="AS98" s="37">
        <f t="shared" si="68"/>
        <v>36.4</v>
      </c>
      <c r="AT98" s="40">
        <f t="shared" si="69"/>
        <v>94.922878890329031</v>
      </c>
    </row>
    <row r="99" spans="17:46" x14ac:dyDescent="0.25">
      <c r="Q99">
        <v>92</v>
      </c>
      <c r="R99" s="39">
        <f t="shared" si="45"/>
        <v>30</v>
      </c>
      <c r="S99" s="37">
        <f t="shared" si="46"/>
        <v>1.2266666666666668</v>
      </c>
      <c r="T99" s="37">
        <f t="shared" si="47"/>
        <v>24</v>
      </c>
      <c r="U99" s="40">
        <f t="shared" si="48"/>
        <v>1.7037037037037037</v>
      </c>
      <c r="V99" s="39">
        <f t="shared" si="49"/>
        <v>2</v>
      </c>
      <c r="W99" s="37">
        <f t="shared" si="50"/>
        <v>0.19999999999999996</v>
      </c>
      <c r="X99" s="40">
        <f t="shared" si="51"/>
        <v>0.8</v>
      </c>
      <c r="Y99" s="39">
        <f t="shared" si="52"/>
        <v>0.94117647058823517</v>
      </c>
      <c r="Z99" s="37">
        <f t="shared" si="71"/>
        <v>2.1742919389978215</v>
      </c>
      <c r="AA99" s="37">
        <f t="shared" si="72"/>
        <v>1.7252315996447534</v>
      </c>
      <c r="AB99" s="37">
        <v>0</v>
      </c>
      <c r="AC99" s="37">
        <f t="shared" si="53"/>
        <v>5.9528481448255892E-2</v>
      </c>
      <c r="AD99" s="40">
        <f t="shared" si="62"/>
        <v>5.9528481448255892E-2</v>
      </c>
      <c r="AE99" s="39">
        <f t="shared" si="70"/>
        <v>0.34074074074074068</v>
      </c>
      <c r="AF99" s="37">
        <f t="shared" si="63"/>
        <v>0.77154702674727416</v>
      </c>
      <c r="AG99" s="37">
        <f t="shared" si="54"/>
        <v>2.7383101466197713E-3</v>
      </c>
      <c r="AH99" s="37">
        <f t="shared" si="55"/>
        <v>0.74488908977122592</v>
      </c>
      <c r="AI99" s="40">
        <f t="shared" si="64"/>
        <v>0.74762739991784566</v>
      </c>
      <c r="AJ99" s="39">
        <f t="shared" si="65"/>
        <v>1.3629629629629632</v>
      </c>
      <c r="AK99" s="37">
        <f t="shared" si="56"/>
        <v>1.5430940534945485</v>
      </c>
      <c r="AL99" s="37">
        <f t="shared" si="57"/>
        <v>0.71146666666666669</v>
      </c>
      <c r="AM99" s="37">
        <f t="shared" si="58"/>
        <v>0.22935</v>
      </c>
      <c r="AN99" s="40">
        <f t="shared" si="66"/>
        <v>0.94081666666666663</v>
      </c>
      <c r="AO99" s="39">
        <f t="shared" si="59"/>
        <v>5.9528481448255901E-3</v>
      </c>
      <c r="AP99" s="37">
        <f t="shared" si="60"/>
        <v>0.19946250000000001</v>
      </c>
      <c r="AQ99" s="40">
        <f t="shared" si="61"/>
        <v>1.0800000000000001E-2</v>
      </c>
      <c r="AR99" s="39">
        <f t="shared" si="67"/>
        <v>1.9641878961775938</v>
      </c>
      <c r="AS99" s="37">
        <f t="shared" si="68"/>
        <v>36.800000000000004</v>
      </c>
      <c r="AT99" s="40">
        <f t="shared" si="69"/>
        <v>94.932983243610607</v>
      </c>
    </row>
    <row r="100" spans="17:46" x14ac:dyDescent="0.25">
      <c r="Q100">
        <v>93</v>
      </c>
      <c r="R100" s="39">
        <f t="shared" si="45"/>
        <v>30</v>
      </c>
      <c r="S100" s="37">
        <f t="shared" si="46"/>
        <v>1.24</v>
      </c>
      <c r="T100" s="37">
        <f t="shared" si="47"/>
        <v>24</v>
      </c>
      <c r="U100" s="40">
        <f t="shared" si="48"/>
        <v>1.7222222222222223</v>
      </c>
      <c r="V100" s="39">
        <f t="shared" si="49"/>
        <v>2</v>
      </c>
      <c r="W100" s="37">
        <f t="shared" si="50"/>
        <v>0.19999999999999996</v>
      </c>
      <c r="X100" s="40">
        <f t="shared" si="51"/>
        <v>0.8</v>
      </c>
      <c r="Y100" s="39">
        <f t="shared" si="52"/>
        <v>0.94117647058823517</v>
      </c>
      <c r="Z100" s="37">
        <f t="shared" si="71"/>
        <v>2.1928104575163401</v>
      </c>
      <c r="AA100" s="37">
        <f t="shared" si="72"/>
        <v>1.7435214782488706</v>
      </c>
      <c r="AB100" s="37">
        <v>0</v>
      </c>
      <c r="AC100" s="37">
        <f t="shared" si="53"/>
        <v>6.0797342902302542E-2</v>
      </c>
      <c r="AD100" s="40">
        <f t="shared" si="62"/>
        <v>6.0797342902302542E-2</v>
      </c>
      <c r="AE100" s="39">
        <f t="shared" si="70"/>
        <v>0.34444444444444439</v>
      </c>
      <c r="AF100" s="37">
        <f t="shared" si="63"/>
        <v>0.77972650911907904</v>
      </c>
      <c r="AG100" s="37">
        <f t="shared" si="54"/>
        <v>2.796677773505916E-3</v>
      </c>
      <c r="AH100" s="37">
        <f t="shared" si="55"/>
        <v>0.7529857103122175</v>
      </c>
      <c r="AI100" s="40">
        <f t="shared" si="64"/>
        <v>0.7557823880857234</v>
      </c>
      <c r="AJ100" s="39">
        <f t="shared" si="65"/>
        <v>1.377777777777778</v>
      </c>
      <c r="AK100" s="37">
        <f t="shared" si="56"/>
        <v>1.5594530182381583</v>
      </c>
      <c r="AL100" s="37">
        <f t="shared" si="57"/>
        <v>0.71919999999999995</v>
      </c>
      <c r="AM100" s="37">
        <f t="shared" si="58"/>
        <v>0.22935</v>
      </c>
      <c r="AN100" s="40">
        <f t="shared" si="66"/>
        <v>0.94855</v>
      </c>
      <c r="AO100" s="39">
        <f t="shared" si="59"/>
        <v>6.079734290230252E-3</v>
      </c>
      <c r="AP100" s="37">
        <f t="shared" si="60"/>
        <v>0.19946250000000001</v>
      </c>
      <c r="AQ100" s="40">
        <f t="shared" si="61"/>
        <v>1.0800000000000001E-2</v>
      </c>
      <c r="AR100" s="39">
        <f t="shared" si="67"/>
        <v>1.9814719652782562</v>
      </c>
      <c r="AS100" s="37">
        <f t="shared" si="68"/>
        <v>37.200000000000003</v>
      </c>
      <c r="AT100" s="40">
        <f t="shared" si="69"/>
        <v>94.942834289037975</v>
      </c>
    </row>
    <row r="101" spans="17:46" x14ac:dyDescent="0.25">
      <c r="Q101">
        <v>94</v>
      </c>
      <c r="R101" s="39">
        <f t="shared" si="45"/>
        <v>30</v>
      </c>
      <c r="S101" s="37">
        <f t="shared" si="46"/>
        <v>1.2533333333333334</v>
      </c>
      <c r="T101" s="37">
        <f t="shared" si="47"/>
        <v>24</v>
      </c>
      <c r="U101" s="40">
        <f t="shared" si="48"/>
        <v>1.7407407407407407</v>
      </c>
      <c r="V101" s="39">
        <f t="shared" si="49"/>
        <v>2</v>
      </c>
      <c r="W101" s="37">
        <f t="shared" si="50"/>
        <v>0.19999999999999996</v>
      </c>
      <c r="X101" s="40">
        <f t="shared" si="51"/>
        <v>0.8</v>
      </c>
      <c r="Y101" s="39">
        <f t="shared" si="52"/>
        <v>0.94117647058823517</v>
      </c>
      <c r="Z101" s="37">
        <f t="shared" si="71"/>
        <v>2.2113289760348582</v>
      </c>
      <c r="AA101" s="37">
        <f t="shared" si="72"/>
        <v>1.7618161336739144</v>
      </c>
      <c r="AB101" s="37">
        <v>0</v>
      </c>
      <c r="AC101" s="37">
        <f t="shared" si="53"/>
        <v>6.2079921777474012E-2</v>
      </c>
      <c r="AD101" s="40">
        <f t="shared" si="62"/>
        <v>6.2079921777474012E-2</v>
      </c>
      <c r="AE101" s="39">
        <f t="shared" si="70"/>
        <v>0.34814814814814804</v>
      </c>
      <c r="AF101" s="37">
        <f t="shared" si="63"/>
        <v>0.78790812775014574</v>
      </c>
      <c r="AG101" s="37">
        <f t="shared" si="54"/>
        <v>2.8556764017638038E-3</v>
      </c>
      <c r="AH101" s="37">
        <f t="shared" si="55"/>
        <v>0.76108233085320898</v>
      </c>
      <c r="AI101" s="40">
        <f t="shared" si="64"/>
        <v>0.76393800725497274</v>
      </c>
      <c r="AJ101" s="39">
        <f t="shared" si="65"/>
        <v>1.3925925925925926</v>
      </c>
      <c r="AK101" s="37">
        <f t="shared" si="56"/>
        <v>1.5758162555002915</v>
      </c>
      <c r="AL101" s="37">
        <f t="shared" si="57"/>
        <v>0.72693333333333332</v>
      </c>
      <c r="AM101" s="37">
        <f t="shared" si="58"/>
        <v>0.22935</v>
      </c>
      <c r="AN101" s="40">
        <f t="shared" si="66"/>
        <v>0.95628333333333337</v>
      </c>
      <c r="AO101" s="39">
        <f t="shared" si="59"/>
        <v>6.2079921777474E-3</v>
      </c>
      <c r="AP101" s="37">
        <f t="shared" si="60"/>
        <v>0.19946250000000001</v>
      </c>
      <c r="AQ101" s="40">
        <f t="shared" si="61"/>
        <v>1.0800000000000001E-2</v>
      </c>
      <c r="AR101" s="39">
        <f t="shared" si="67"/>
        <v>1.9987717545435275</v>
      </c>
      <c r="AS101" s="37">
        <f t="shared" si="68"/>
        <v>37.6</v>
      </c>
      <c r="AT101" s="40">
        <f t="shared" si="69"/>
        <v>94.952440022804012</v>
      </c>
    </row>
    <row r="102" spans="17:46" x14ac:dyDescent="0.25">
      <c r="Q102">
        <v>95</v>
      </c>
      <c r="R102" s="39">
        <f t="shared" si="45"/>
        <v>30</v>
      </c>
      <c r="S102" s="37">
        <f t="shared" si="46"/>
        <v>1.2666666666666668</v>
      </c>
      <c r="T102" s="37">
        <f t="shared" si="47"/>
        <v>24</v>
      </c>
      <c r="U102" s="40">
        <f t="shared" si="48"/>
        <v>1.7592592592592595</v>
      </c>
      <c r="V102" s="39">
        <f t="shared" si="49"/>
        <v>2</v>
      </c>
      <c r="W102" s="37">
        <f t="shared" si="50"/>
        <v>0.19999999999999996</v>
      </c>
      <c r="X102" s="40">
        <f t="shared" si="51"/>
        <v>0.8</v>
      </c>
      <c r="Y102" s="39">
        <f t="shared" si="52"/>
        <v>0.94117647058823517</v>
      </c>
      <c r="Z102" s="37">
        <f t="shared" si="71"/>
        <v>2.2298474945533773</v>
      </c>
      <c r="AA102" s="37">
        <f t="shared" si="72"/>
        <v>1.7801154186424306</v>
      </c>
      <c r="AB102" s="37">
        <v>0</v>
      </c>
      <c r="AC102" s="37">
        <f t="shared" si="53"/>
        <v>6.3376218073770321E-2</v>
      </c>
      <c r="AD102" s="40">
        <f t="shared" si="62"/>
        <v>6.3376218073770321E-2</v>
      </c>
      <c r="AE102" s="39">
        <f t="shared" si="70"/>
        <v>0.3518518518518518</v>
      </c>
      <c r="AF102" s="37">
        <f t="shared" si="63"/>
        <v>0.79609181677599417</v>
      </c>
      <c r="AG102" s="37">
        <f t="shared" si="54"/>
        <v>2.9153060313934342E-3</v>
      </c>
      <c r="AH102" s="37">
        <f t="shared" si="55"/>
        <v>0.76917895139420067</v>
      </c>
      <c r="AI102" s="40">
        <f t="shared" si="64"/>
        <v>0.77209425742559412</v>
      </c>
      <c r="AJ102" s="39">
        <f t="shared" si="65"/>
        <v>1.4074074074074077</v>
      </c>
      <c r="AK102" s="37">
        <f t="shared" si="56"/>
        <v>1.5921836335519886</v>
      </c>
      <c r="AL102" s="37">
        <f t="shared" si="57"/>
        <v>0.73466666666666669</v>
      </c>
      <c r="AM102" s="37">
        <f t="shared" si="58"/>
        <v>0.22935</v>
      </c>
      <c r="AN102" s="40">
        <f t="shared" si="66"/>
        <v>0.96401666666666674</v>
      </c>
      <c r="AO102" s="39">
        <f t="shared" si="59"/>
        <v>6.3376218073770306E-3</v>
      </c>
      <c r="AP102" s="37">
        <f t="shared" si="60"/>
        <v>0.19946250000000001</v>
      </c>
      <c r="AQ102" s="40">
        <f t="shared" si="61"/>
        <v>1.0800000000000001E-2</v>
      </c>
      <c r="AR102" s="39">
        <f t="shared" si="67"/>
        <v>2.0160872639734082</v>
      </c>
      <c r="AS102" s="37">
        <f t="shared" si="68"/>
        <v>38.000000000000007</v>
      </c>
      <c r="AT102" s="40">
        <f t="shared" si="69"/>
        <v>94.961808108139294</v>
      </c>
    </row>
    <row r="103" spans="17:46" x14ac:dyDescent="0.25">
      <c r="Q103">
        <v>96</v>
      </c>
      <c r="R103" s="39">
        <f t="shared" si="45"/>
        <v>30</v>
      </c>
      <c r="S103" s="37">
        <f t="shared" ref="S103:S134" si="73">Q103*$O$12</f>
        <v>1.28</v>
      </c>
      <c r="T103" s="37">
        <f t="shared" si="47"/>
        <v>24</v>
      </c>
      <c r="U103" s="40">
        <f t="shared" ref="U103:U134" si="74">(R103*S103)/(T103*EFF_est)</f>
        <v>1.7777777777777777</v>
      </c>
      <c r="V103" s="39">
        <f t="shared" ref="V103:V134" si="75">IF((S103*R103/T103)&lt;((T103*(1-(T103/R103)))/(2*Lm*Fsw)),1,2)</f>
        <v>2</v>
      </c>
      <c r="W103" s="37">
        <f t="shared" ref="W103:W134" si="76">CHOOSE(V103,SQRT((2*S103*Lm*Fsw*(R103-T103))/((T103)^2)),1-(T103/R103))</f>
        <v>0.19999999999999996</v>
      </c>
      <c r="X103" s="40">
        <f t="shared" ref="X103:X134" si="77">CHOOSE(V103,(Lm*W103*Fsw)/(R103-T103),1-W103)</f>
        <v>0.8</v>
      </c>
      <c r="Y103" s="39">
        <f t="shared" ref="Y103:Y134" si="78">(T103*W103)/(Lm*Fsw)</f>
        <v>0.94117647058823517</v>
      </c>
      <c r="Z103" s="37">
        <f t="shared" si="71"/>
        <v>2.2483660130718954</v>
      </c>
      <c r="AA103" s="37">
        <f t="shared" si="72"/>
        <v>1.7984191918347543</v>
      </c>
      <c r="AB103" s="37">
        <v>0</v>
      </c>
      <c r="AC103" s="37">
        <f t="shared" ref="AC103:AC134" si="79">(AA103^2)*Rdcr</f>
        <v>6.4686231791191415E-2</v>
      </c>
      <c r="AD103" s="40">
        <f t="shared" si="62"/>
        <v>6.4686231791191415E-2</v>
      </c>
      <c r="AE103" s="39">
        <f t="shared" si="70"/>
        <v>0.35555555555555546</v>
      </c>
      <c r="AF103" s="37">
        <f t="shared" si="63"/>
        <v>0.80427751299654904</v>
      </c>
      <c r="AG103" s="37">
        <f t="shared" ref="AG103:AG134" si="80">(AF103^2)*RDS_on</f>
        <v>2.9755666623948046E-3</v>
      </c>
      <c r="AH103" s="37">
        <f t="shared" ref="AH103:AH134" si="81">((R103*U103)/2)*Fsw*(tr_sw+tf_sw)</f>
        <v>0.77727557193519226</v>
      </c>
      <c r="AI103" s="40">
        <f t="shared" si="64"/>
        <v>0.7802511385975871</v>
      </c>
      <c r="AJ103" s="39">
        <f t="shared" si="65"/>
        <v>1.4222222222222223</v>
      </c>
      <c r="AK103" s="37">
        <f t="shared" ref="AK103:AK134" si="82">CHOOSE(V103,Z103*SQRT(X103/3),SQRT(X103*((Z103^2)+((Y103^2)/3)-(Y103*Z103))))</f>
        <v>1.6085550259930983</v>
      </c>
      <c r="AL103" s="37">
        <f t="shared" ref="AL103:AL134" si="83">S103*Vd_rect</f>
        <v>0.74239999999999995</v>
      </c>
      <c r="AM103" s="37">
        <f t="shared" ref="AM103:AM134" si="84">CHOOSE(V103,(R103+Vd_rect)*Qrr*Fsw,(R103+Vd_rect)*Qrr*Fsw)</f>
        <v>0.22935</v>
      </c>
      <c r="AN103" s="40">
        <f t="shared" si="66"/>
        <v>0.97174999999999989</v>
      </c>
      <c r="AO103" s="39">
        <f t="shared" ref="AO103:AO134" si="85">(AF103^2)*R_cs</f>
        <v>6.4686231791191411E-3</v>
      </c>
      <c r="AP103" s="37">
        <f t="shared" ref="AP103:AP134" si="86">Qg_tot*Vcc*Fsw</f>
        <v>0.19946250000000001</v>
      </c>
      <c r="AQ103" s="40">
        <f t="shared" ref="AQ103:AQ134" si="87">IQ*T103</f>
        <v>1.0800000000000001E-2</v>
      </c>
      <c r="AR103" s="39">
        <f t="shared" si="67"/>
        <v>2.0334184935678974</v>
      </c>
      <c r="AS103" s="37">
        <f t="shared" si="68"/>
        <v>38.4</v>
      </c>
      <c r="AT103" s="40">
        <f t="shared" si="69"/>
        <v>94.970945892464243</v>
      </c>
    </row>
    <row r="104" spans="17:46" x14ac:dyDescent="0.25">
      <c r="Q104">
        <v>97</v>
      </c>
      <c r="R104" s="39">
        <f t="shared" si="45"/>
        <v>30</v>
      </c>
      <c r="S104" s="37">
        <f t="shared" si="73"/>
        <v>1.2933333333333334</v>
      </c>
      <c r="T104" s="37">
        <f t="shared" si="47"/>
        <v>24</v>
      </c>
      <c r="U104" s="40">
        <f t="shared" si="74"/>
        <v>1.7962962962962963</v>
      </c>
      <c r="V104" s="39">
        <f t="shared" si="75"/>
        <v>2</v>
      </c>
      <c r="W104" s="37">
        <f t="shared" si="76"/>
        <v>0.19999999999999996</v>
      </c>
      <c r="X104" s="40">
        <f t="shared" si="77"/>
        <v>0.8</v>
      </c>
      <c r="Y104" s="39">
        <f t="shared" si="78"/>
        <v>0.94117647058823517</v>
      </c>
      <c r="Z104" s="37">
        <f t="shared" si="71"/>
        <v>2.266884531590414</v>
      </c>
      <c r="AA104" s="37">
        <f t="shared" si="72"/>
        <v>1.8167273175925078</v>
      </c>
      <c r="AB104" s="37">
        <v>0</v>
      </c>
      <c r="AC104" s="37">
        <f t="shared" si="79"/>
        <v>6.6009962929737376E-2</v>
      </c>
      <c r="AD104" s="40">
        <f t="shared" si="62"/>
        <v>6.6009962929737376E-2</v>
      </c>
      <c r="AE104" s="39">
        <f t="shared" si="70"/>
        <v>0.35925925925925917</v>
      </c>
      <c r="AF104" s="37">
        <f t="shared" si="63"/>
        <v>0.81246515574353939</v>
      </c>
      <c r="AG104" s="37">
        <f t="shared" si="80"/>
        <v>3.0364582947679194E-3</v>
      </c>
      <c r="AH104" s="37">
        <f t="shared" si="81"/>
        <v>0.78537219247618373</v>
      </c>
      <c r="AI104" s="40">
        <f t="shared" si="64"/>
        <v>0.78840865077095168</v>
      </c>
      <c r="AJ104" s="39">
        <f t="shared" si="65"/>
        <v>1.4370370370370371</v>
      </c>
      <c r="AK104" s="37">
        <f t="shared" si="82"/>
        <v>1.624930311487079</v>
      </c>
      <c r="AL104" s="37">
        <f t="shared" si="83"/>
        <v>0.75013333333333332</v>
      </c>
      <c r="AM104" s="37">
        <f t="shared" si="84"/>
        <v>0.22935</v>
      </c>
      <c r="AN104" s="40">
        <f t="shared" si="66"/>
        <v>0.97948333333333326</v>
      </c>
      <c r="AO104" s="39">
        <f t="shared" si="85"/>
        <v>6.6009962929737378E-3</v>
      </c>
      <c r="AP104" s="37">
        <f t="shared" si="86"/>
        <v>0.19946250000000001</v>
      </c>
      <c r="AQ104" s="40">
        <f t="shared" si="87"/>
        <v>1.0800000000000001E-2</v>
      </c>
      <c r="AR104" s="39">
        <f t="shared" si="67"/>
        <v>2.0507654433269962</v>
      </c>
      <c r="AS104" s="37">
        <f t="shared" si="68"/>
        <v>38.800000000000004</v>
      </c>
      <c r="AT104" s="40">
        <f t="shared" si="69"/>
        <v>94.9798604234918</v>
      </c>
    </row>
    <row r="105" spans="17:46" x14ac:dyDescent="0.25">
      <c r="Q105">
        <v>98</v>
      </c>
      <c r="R105" s="39">
        <f t="shared" si="45"/>
        <v>30</v>
      </c>
      <c r="S105" s="37">
        <f t="shared" si="73"/>
        <v>1.3066666666666666</v>
      </c>
      <c r="T105" s="37">
        <f t="shared" si="47"/>
        <v>24</v>
      </c>
      <c r="U105" s="40">
        <f t="shared" si="74"/>
        <v>1.8148148148148149</v>
      </c>
      <c r="V105" s="39">
        <f t="shared" si="75"/>
        <v>2</v>
      </c>
      <c r="W105" s="37">
        <f t="shared" si="76"/>
        <v>0.19999999999999996</v>
      </c>
      <c r="X105" s="40">
        <f t="shared" si="77"/>
        <v>0.8</v>
      </c>
      <c r="Y105" s="39">
        <f t="shared" si="78"/>
        <v>0.94117647058823517</v>
      </c>
      <c r="Z105" s="37">
        <f t="shared" si="71"/>
        <v>2.2854030501089326</v>
      </c>
      <c r="AA105" s="37">
        <f t="shared" si="72"/>
        <v>1.8350396656395218</v>
      </c>
      <c r="AB105" s="37">
        <v>0</v>
      </c>
      <c r="AC105" s="37">
        <f t="shared" si="79"/>
        <v>6.7347411489408163E-2</v>
      </c>
      <c r="AD105" s="40">
        <f t="shared" si="62"/>
        <v>6.7347411489408163E-2</v>
      </c>
      <c r="AE105" s="39">
        <f t="shared" si="70"/>
        <v>0.36296296296296288</v>
      </c>
      <c r="AF105" s="37">
        <f t="shared" si="63"/>
        <v>0.8206546867556912</v>
      </c>
      <c r="AG105" s="37">
        <f t="shared" si="80"/>
        <v>3.0979809285127751E-3</v>
      </c>
      <c r="AH105" s="37">
        <f t="shared" si="81"/>
        <v>0.79346881301717542</v>
      </c>
      <c r="AI105" s="40">
        <f t="shared" si="64"/>
        <v>0.79656679394568819</v>
      </c>
      <c r="AJ105" s="39">
        <f t="shared" si="65"/>
        <v>1.4518518518518519</v>
      </c>
      <c r="AK105" s="37">
        <f t="shared" si="82"/>
        <v>1.6413093735113826</v>
      </c>
      <c r="AL105" s="37">
        <f t="shared" si="83"/>
        <v>0.75786666666666658</v>
      </c>
      <c r="AM105" s="37">
        <f t="shared" si="84"/>
        <v>0.22935</v>
      </c>
      <c r="AN105" s="40">
        <f t="shared" si="66"/>
        <v>0.98721666666666663</v>
      </c>
      <c r="AO105" s="39">
        <f t="shared" si="85"/>
        <v>6.7347411489408161E-3</v>
      </c>
      <c r="AP105" s="37">
        <f t="shared" si="86"/>
        <v>0.19946250000000001</v>
      </c>
      <c r="AQ105" s="40">
        <f t="shared" si="87"/>
        <v>1.0800000000000001E-2</v>
      </c>
      <c r="AR105" s="39">
        <f t="shared" si="67"/>
        <v>2.0681281132507041</v>
      </c>
      <c r="AS105" s="37">
        <f t="shared" si="68"/>
        <v>39.200000000000003</v>
      </c>
      <c r="AT105" s="40">
        <f t="shared" si="69"/>
        <v>94.988558464354838</v>
      </c>
    </row>
    <row r="106" spans="17:46" x14ac:dyDescent="0.25">
      <c r="Q106">
        <v>99</v>
      </c>
      <c r="R106" s="39">
        <f t="shared" si="45"/>
        <v>30</v>
      </c>
      <c r="S106" s="37">
        <f t="shared" si="73"/>
        <v>1.32</v>
      </c>
      <c r="T106" s="37">
        <f t="shared" si="47"/>
        <v>24</v>
      </c>
      <c r="U106" s="40">
        <f t="shared" si="74"/>
        <v>1.8333333333333333</v>
      </c>
      <c r="V106" s="39">
        <f t="shared" si="75"/>
        <v>2</v>
      </c>
      <c r="W106" s="37">
        <f t="shared" si="76"/>
        <v>0.19999999999999996</v>
      </c>
      <c r="X106" s="40">
        <f t="shared" si="77"/>
        <v>0.8</v>
      </c>
      <c r="Y106" s="39">
        <f t="shared" si="78"/>
        <v>0.94117647058823517</v>
      </c>
      <c r="Z106" s="37">
        <f t="shared" si="71"/>
        <v>2.3039215686274508</v>
      </c>
      <c r="AA106" s="37">
        <f t="shared" si="72"/>
        <v>1.8533561108190157</v>
      </c>
      <c r="AB106" s="37">
        <v>0</v>
      </c>
      <c r="AC106" s="37">
        <f t="shared" si="79"/>
        <v>6.8698577470203762E-2</v>
      </c>
      <c r="AD106" s="40">
        <f t="shared" si="62"/>
        <v>6.8698577470203762E-2</v>
      </c>
      <c r="AE106" s="39">
        <f t="shared" si="70"/>
        <v>0.36666666666666659</v>
      </c>
      <c r="AF106" s="37">
        <f t="shared" si="63"/>
        <v>0.8288460500611905</v>
      </c>
      <c r="AG106" s="37">
        <f t="shared" si="80"/>
        <v>3.1601345636293725E-3</v>
      </c>
      <c r="AH106" s="37">
        <f t="shared" si="81"/>
        <v>0.80156543355816701</v>
      </c>
      <c r="AI106" s="40">
        <f t="shared" si="64"/>
        <v>0.80472556812179641</v>
      </c>
      <c r="AJ106" s="39">
        <f t="shared" si="65"/>
        <v>1.4666666666666668</v>
      </c>
      <c r="AK106" s="37">
        <f t="shared" si="82"/>
        <v>1.6576921001223812</v>
      </c>
      <c r="AL106" s="37">
        <f t="shared" si="83"/>
        <v>0.76559999999999995</v>
      </c>
      <c r="AM106" s="37">
        <f t="shared" si="84"/>
        <v>0.22935</v>
      </c>
      <c r="AN106" s="40">
        <f t="shared" si="66"/>
        <v>0.99495</v>
      </c>
      <c r="AO106" s="39">
        <f t="shared" si="85"/>
        <v>6.8698577470203753E-3</v>
      </c>
      <c r="AP106" s="37">
        <f t="shared" si="86"/>
        <v>0.19946250000000001</v>
      </c>
      <c r="AQ106" s="40">
        <f t="shared" si="87"/>
        <v>1.0800000000000001E-2</v>
      </c>
      <c r="AR106" s="39">
        <f t="shared" si="67"/>
        <v>2.0855065033390208</v>
      </c>
      <c r="AS106" s="37">
        <f t="shared" si="68"/>
        <v>39.6</v>
      </c>
      <c r="AT106" s="40">
        <f t="shared" si="69"/>
        <v>94.997046507826482</v>
      </c>
    </row>
    <row r="107" spans="17:46" x14ac:dyDescent="0.25">
      <c r="Q107">
        <v>100</v>
      </c>
      <c r="R107" s="39">
        <f t="shared" si="45"/>
        <v>30</v>
      </c>
      <c r="S107" s="37">
        <f t="shared" si="73"/>
        <v>1.3333333333333335</v>
      </c>
      <c r="T107" s="37">
        <f t="shared" si="47"/>
        <v>24</v>
      </c>
      <c r="U107" s="40">
        <f t="shared" si="74"/>
        <v>1.8518518518518521</v>
      </c>
      <c r="V107" s="39">
        <f t="shared" si="75"/>
        <v>2</v>
      </c>
      <c r="W107" s="37">
        <f t="shared" si="76"/>
        <v>0.19999999999999996</v>
      </c>
      <c r="X107" s="40">
        <f t="shared" si="77"/>
        <v>0.8</v>
      </c>
      <c r="Y107" s="39">
        <f t="shared" si="78"/>
        <v>0.94117647058823517</v>
      </c>
      <c r="Z107" s="37">
        <f t="shared" si="71"/>
        <v>2.3224400871459698</v>
      </c>
      <c r="AA107" s="37">
        <f t="shared" si="72"/>
        <v>1.8716765328459433</v>
      </c>
      <c r="AB107" s="37">
        <v>0</v>
      </c>
      <c r="AC107" s="37">
        <f t="shared" si="79"/>
        <v>7.0063460872124228E-2</v>
      </c>
      <c r="AD107" s="40">
        <f t="shared" si="62"/>
        <v>7.0063460872124228E-2</v>
      </c>
      <c r="AE107" s="39">
        <f t="shared" si="70"/>
        <v>0.37037037037037035</v>
      </c>
      <c r="AF107" s="37">
        <f t="shared" si="63"/>
        <v>0.83703919186692932</v>
      </c>
      <c r="AG107" s="37">
        <f t="shared" si="80"/>
        <v>3.2229192001177139E-3</v>
      </c>
      <c r="AH107" s="37">
        <f t="shared" si="81"/>
        <v>0.8096620540991587</v>
      </c>
      <c r="AI107" s="40">
        <f t="shared" si="64"/>
        <v>0.81288497329927645</v>
      </c>
      <c r="AJ107" s="39">
        <f t="shared" si="65"/>
        <v>1.4814814814814818</v>
      </c>
      <c r="AK107" s="37">
        <f t="shared" si="82"/>
        <v>1.6740783837338589</v>
      </c>
      <c r="AL107" s="37">
        <f t="shared" si="83"/>
        <v>0.77333333333333332</v>
      </c>
      <c r="AM107" s="37">
        <f t="shared" si="84"/>
        <v>0.22935</v>
      </c>
      <c r="AN107" s="40">
        <f t="shared" si="66"/>
        <v>1.0026833333333334</v>
      </c>
      <c r="AO107" s="39">
        <f t="shared" si="85"/>
        <v>7.0063460872124214E-3</v>
      </c>
      <c r="AP107" s="37">
        <f t="shared" si="86"/>
        <v>0.19946250000000001</v>
      </c>
      <c r="AQ107" s="40">
        <f t="shared" si="87"/>
        <v>1.0800000000000001E-2</v>
      </c>
      <c r="AR107" s="39">
        <f t="shared" si="67"/>
        <v>2.1029006135919466</v>
      </c>
      <c r="AS107" s="37">
        <f t="shared" si="68"/>
        <v>40.000000000000007</v>
      </c>
      <c r="AT107" s="40">
        <f t="shared" si="69"/>
        <v>95.005330789696046</v>
      </c>
    </row>
    <row r="108" spans="17:46" x14ac:dyDescent="0.25">
      <c r="Q108">
        <v>101</v>
      </c>
      <c r="R108" s="39">
        <f t="shared" si="45"/>
        <v>30</v>
      </c>
      <c r="S108" s="37">
        <f t="shared" si="73"/>
        <v>1.3466666666666667</v>
      </c>
      <c r="T108" s="37">
        <f t="shared" si="47"/>
        <v>24</v>
      </c>
      <c r="U108" s="40">
        <f t="shared" si="74"/>
        <v>1.8703703703703702</v>
      </c>
      <c r="V108" s="39">
        <f t="shared" si="75"/>
        <v>2</v>
      </c>
      <c r="W108" s="37">
        <f t="shared" si="76"/>
        <v>0.19999999999999996</v>
      </c>
      <c r="X108" s="40">
        <f t="shared" si="77"/>
        <v>0.8</v>
      </c>
      <c r="Y108" s="39">
        <f t="shared" si="78"/>
        <v>0.94117647058823517</v>
      </c>
      <c r="Z108" s="37">
        <f t="shared" si="71"/>
        <v>2.340958605664488</v>
      </c>
      <c r="AA108" s="37">
        <f t="shared" si="72"/>
        <v>1.890000816073494</v>
      </c>
      <c r="AB108" s="37">
        <v>0</v>
      </c>
      <c r="AC108" s="37">
        <f t="shared" si="79"/>
        <v>7.1442061695169465E-2</v>
      </c>
      <c r="AD108" s="40">
        <f t="shared" si="62"/>
        <v>7.1442061695169465E-2</v>
      </c>
      <c r="AE108" s="39">
        <f t="shared" si="70"/>
        <v>0.37407407407407395</v>
      </c>
      <c r="AF108" s="37">
        <f t="shared" si="63"/>
        <v>0.84523406045408189</v>
      </c>
      <c r="AG108" s="37">
        <f t="shared" si="80"/>
        <v>3.2863348379777949E-3</v>
      </c>
      <c r="AH108" s="37">
        <f t="shared" si="81"/>
        <v>0.81775867464015006</v>
      </c>
      <c r="AI108" s="40">
        <f t="shared" si="64"/>
        <v>0.82104500947812786</v>
      </c>
      <c r="AJ108" s="39">
        <f t="shared" si="65"/>
        <v>1.4962962962962962</v>
      </c>
      <c r="AK108" s="37">
        <f t="shared" si="82"/>
        <v>1.690468120908164</v>
      </c>
      <c r="AL108" s="37">
        <f t="shared" si="83"/>
        <v>0.78106666666666658</v>
      </c>
      <c r="AM108" s="37">
        <f t="shared" si="84"/>
        <v>0.22935</v>
      </c>
      <c r="AN108" s="40">
        <f t="shared" si="66"/>
        <v>1.0104166666666665</v>
      </c>
      <c r="AO108" s="39">
        <f t="shared" si="85"/>
        <v>7.1442061695169458E-3</v>
      </c>
      <c r="AP108" s="37">
        <f t="shared" si="86"/>
        <v>0.19946250000000001</v>
      </c>
      <c r="AQ108" s="40">
        <f t="shared" si="87"/>
        <v>1.0800000000000001E-2</v>
      </c>
      <c r="AR108" s="39">
        <f t="shared" si="67"/>
        <v>2.1203104440094811</v>
      </c>
      <c r="AS108" s="37">
        <f t="shared" si="68"/>
        <v>40.4</v>
      </c>
      <c r="AT108" s="40">
        <f t="shared" si="69"/>
        <v>95.013417301358842</v>
      </c>
    </row>
    <row r="109" spans="17:46" x14ac:dyDescent="0.25">
      <c r="Q109">
        <v>102</v>
      </c>
      <c r="R109" s="39">
        <f t="shared" si="45"/>
        <v>30</v>
      </c>
      <c r="S109" s="37">
        <f t="shared" si="73"/>
        <v>1.36</v>
      </c>
      <c r="T109" s="37">
        <f t="shared" si="47"/>
        <v>24</v>
      </c>
      <c r="U109" s="40">
        <f t="shared" si="74"/>
        <v>1.8888888888888891</v>
      </c>
      <c r="V109" s="39">
        <f t="shared" si="75"/>
        <v>2</v>
      </c>
      <c r="W109" s="37">
        <f t="shared" si="76"/>
        <v>0.19999999999999996</v>
      </c>
      <c r="X109" s="40">
        <f t="shared" si="77"/>
        <v>0.8</v>
      </c>
      <c r="Y109" s="39">
        <f t="shared" si="78"/>
        <v>0.94117647058823517</v>
      </c>
      <c r="Z109" s="37">
        <f t="shared" si="71"/>
        <v>2.3594771241830066</v>
      </c>
      <c r="AA109" s="37">
        <f t="shared" si="72"/>
        <v>1.9083288492728341</v>
      </c>
      <c r="AB109" s="37">
        <v>0</v>
      </c>
      <c r="AC109" s="37">
        <f t="shared" si="79"/>
        <v>7.2834379939339583E-2</v>
      </c>
      <c r="AD109" s="40">
        <f t="shared" si="62"/>
        <v>7.2834379939339583E-2</v>
      </c>
      <c r="AE109" s="39">
        <f t="shared" si="70"/>
        <v>0.37777777777777771</v>
      </c>
      <c r="AF109" s="37">
        <f t="shared" si="63"/>
        <v>0.85343060607960131</v>
      </c>
      <c r="AG109" s="37">
        <f t="shared" si="80"/>
        <v>3.3503814772096198E-3</v>
      </c>
      <c r="AH109" s="37">
        <f t="shared" si="81"/>
        <v>0.82585529518114176</v>
      </c>
      <c r="AI109" s="40">
        <f t="shared" si="64"/>
        <v>0.82920567665835143</v>
      </c>
      <c r="AJ109" s="39">
        <f t="shared" si="65"/>
        <v>1.5111111111111113</v>
      </c>
      <c r="AK109" s="37">
        <f t="shared" si="82"/>
        <v>1.7068612121592028</v>
      </c>
      <c r="AL109" s="37">
        <f t="shared" si="83"/>
        <v>0.78880000000000006</v>
      </c>
      <c r="AM109" s="37">
        <f t="shared" si="84"/>
        <v>0.22935</v>
      </c>
      <c r="AN109" s="40">
        <f t="shared" si="66"/>
        <v>1.0181500000000001</v>
      </c>
      <c r="AO109" s="39">
        <f t="shared" si="85"/>
        <v>7.2834379939339571E-3</v>
      </c>
      <c r="AP109" s="37">
        <f t="shared" si="86"/>
        <v>0.19946250000000001</v>
      </c>
      <c r="AQ109" s="40">
        <f t="shared" si="87"/>
        <v>1.0800000000000001E-2</v>
      </c>
      <c r="AR109" s="39">
        <f t="shared" si="67"/>
        <v>2.1377359945916252</v>
      </c>
      <c r="AS109" s="37">
        <f t="shared" si="68"/>
        <v>40.800000000000004</v>
      </c>
      <c r="AT109" s="40">
        <f t="shared" si="69"/>
        <v>95.021311801672809</v>
      </c>
    </row>
    <row r="110" spans="17:46" x14ac:dyDescent="0.25">
      <c r="Q110">
        <v>103</v>
      </c>
      <c r="R110" s="39">
        <f t="shared" si="45"/>
        <v>30</v>
      </c>
      <c r="S110" s="37">
        <f t="shared" si="73"/>
        <v>1.3733333333333335</v>
      </c>
      <c r="T110" s="37">
        <f t="shared" si="47"/>
        <v>24</v>
      </c>
      <c r="U110" s="40">
        <f t="shared" si="74"/>
        <v>1.9074074074074074</v>
      </c>
      <c r="V110" s="39">
        <f t="shared" si="75"/>
        <v>2</v>
      </c>
      <c r="W110" s="37">
        <f t="shared" si="76"/>
        <v>0.19999999999999996</v>
      </c>
      <c r="X110" s="40">
        <f t="shared" si="77"/>
        <v>0.8</v>
      </c>
      <c r="Y110" s="39">
        <f t="shared" si="78"/>
        <v>0.94117647058823517</v>
      </c>
      <c r="Z110" s="37">
        <f t="shared" si="71"/>
        <v>2.3779956427015252</v>
      </c>
      <c r="AA110" s="37">
        <f t="shared" si="72"/>
        <v>1.9266605254252045</v>
      </c>
      <c r="AB110" s="37">
        <v>0</v>
      </c>
      <c r="AC110" s="37">
        <f t="shared" si="79"/>
        <v>7.4240415604634499E-2</v>
      </c>
      <c r="AD110" s="40">
        <f t="shared" si="62"/>
        <v>7.4240415604634499E-2</v>
      </c>
      <c r="AE110" s="39">
        <f t="shared" si="70"/>
        <v>0.38148148148148142</v>
      </c>
      <c r="AF110" s="37">
        <f t="shared" si="63"/>
        <v>0.86162878088324379</v>
      </c>
      <c r="AG110" s="37">
        <f t="shared" si="80"/>
        <v>3.4150591178131865E-3</v>
      </c>
      <c r="AH110" s="37">
        <f t="shared" si="81"/>
        <v>0.83395191572213323</v>
      </c>
      <c r="AI110" s="40">
        <f t="shared" si="64"/>
        <v>0.83736697483994638</v>
      </c>
      <c r="AJ110" s="39">
        <f t="shared" si="65"/>
        <v>1.5259259259259261</v>
      </c>
      <c r="AK110" s="37">
        <f t="shared" si="82"/>
        <v>1.7232575617664878</v>
      </c>
      <c r="AL110" s="37">
        <f t="shared" si="83"/>
        <v>0.79653333333333343</v>
      </c>
      <c r="AM110" s="37">
        <f t="shared" si="84"/>
        <v>0.22935</v>
      </c>
      <c r="AN110" s="40">
        <f t="shared" si="66"/>
        <v>1.0258833333333335</v>
      </c>
      <c r="AO110" s="39">
        <f t="shared" si="85"/>
        <v>7.4240415604634492E-3</v>
      </c>
      <c r="AP110" s="37">
        <f t="shared" si="86"/>
        <v>0.19946250000000001</v>
      </c>
      <c r="AQ110" s="40">
        <f t="shared" si="87"/>
        <v>1.0800000000000001E-2</v>
      </c>
      <c r="AR110" s="39">
        <f t="shared" si="67"/>
        <v>2.1551772653383781</v>
      </c>
      <c r="AS110" s="37">
        <f t="shared" si="68"/>
        <v>41.2</v>
      </c>
      <c r="AT110" s="40">
        <f t="shared" si="69"/>
        <v>95.029019828131567</v>
      </c>
    </row>
    <row r="111" spans="17:46" x14ac:dyDescent="0.25">
      <c r="Q111">
        <v>104</v>
      </c>
      <c r="R111" s="39">
        <f t="shared" si="45"/>
        <v>30</v>
      </c>
      <c r="S111" s="37">
        <f t="shared" si="73"/>
        <v>1.3866666666666667</v>
      </c>
      <c r="T111" s="37">
        <f t="shared" si="47"/>
        <v>24</v>
      </c>
      <c r="U111" s="40">
        <f t="shared" si="74"/>
        <v>1.9259259259259258</v>
      </c>
      <c r="V111" s="39">
        <f t="shared" si="75"/>
        <v>2</v>
      </c>
      <c r="W111" s="37">
        <f t="shared" si="76"/>
        <v>0.19999999999999996</v>
      </c>
      <c r="X111" s="40">
        <f t="shared" si="77"/>
        <v>0.8</v>
      </c>
      <c r="Y111" s="39">
        <f t="shared" si="78"/>
        <v>0.94117647058823517</v>
      </c>
      <c r="Z111" s="37">
        <f t="shared" si="71"/>
        <v>2.3965141612200433</v>
      </c>
      <c r="AA111" s="37">
        <f t="shared" si="72"/>
        <v>1.9449957415255983</v>
      </c>
      <c r="AB111" s="37">
        <v>0</v>
      </c>
      <c r="AC111" s="37">
        <f t="shared" si="79"/>
        <v>7.5660168691054241E-2</v>
      </c>
      <c r="AD111" s="40">
        <f t="shared" si="62"/>
        <v>7.5660168691054241E-2</v>
      </c>
      <c r="AE111" s="39">
        <f t="shared" si="70"/>
        <v>0.38518518518518507</v>
      </c>
      <c r="AF111" s="37">
        <f t="shared" si="63"/>
        <v>0.86982853879976951</v>
      </c>
      <c r="AG111" s="37">
        <f t="shared" si="80"/>
        <v>3.4803677597884937E-3</v>
      </c>
      <c r="AH111" s="37">
        <f t="shared" si="81"/>
        <v>0.84204853626312481</v>
      </c>
      <c r="AI111" s="40">
        <f t="shared" si="64"/>
        <v>0.84552890402291325</v>
      </c>
      <c r="AJ111" s="39">
        <f t="shared" si="65"/>
        <v>1.5407407407407407</v>
      </c>
      <c r="AK111" s="37">
        <f t="shared" si="82"/>
        <v>1.7396570775995392</v>
      </c>
      <c r="AL111" s="37">
        <f t="shared" si="83"/>
        <v>0.80426666666666669</v>
      </c>
      <c r="AM111" s="37">
        <f t="shared" si="84"/>
        <v>0.22935</v>
      </c>
      <c r="AN111" s="40">
        <f t="shared" si="66"/>
        <v>1.0336166666666666</v>
      </c>
      <c r="AO111" s="39">
        <f t="shared" si="85"/>
        <v>7.5660168691054214E-3</v>
      </c>
      <c r="AP111" s="37">
        <f t="shared" si="86"/>
        <v>0.19946250000000001</v>
      </c>
      <c r="AQ111" s="40">
        <f t="shared" si="87"/>
        <v>1.0800000000000001E-2</v>
      </c>
      <c r="AR111" s="39">
        <f t="shared" si="67"/>
        <v>2.1726342562497396</v>
      </c>
      <c r="AS111" s="37">
        <f t="shared" si="68"/>
        <v>41.6</v>
      </c>
      <c r="AT111" s="40">
        <f t="shared" si="69"/>
        <v>95.036546707399651</v>
      </c>
    </row>
    <row r="112" spans="17:46" x14ac:dyDescent="0.25">
      <c r="Q112">
        <v>105</v>
      </c>
      <c r="R112" s="39">
        <f t="shared" si="45"/>
        <v>30</v>
      </c>
      <c r="S112" s="37">
        <f t="shared" si="73"/>
        <v>1.4000000000000001</v>
      </c>
      <c r="T112" s="37">
        <f t="shared" si="47"/>
        <v>24</v>
      </c>
      <c r="U112" s="40">
        <f t="shared" si="74"/>
        <v>1.9444444444444446</v>
      </c>
      <c r="V112" s="39">
        <f t="shared" si="75"/>
        <v>2</v>
      </c>
      <c r="W112" s="37">
        <f t="shared" si="76"/>
        <v>0.19999999999999996</v>
      </c>
      <c r="X112" s="40">
        <f t="shared" si="77"/>
        <v>0.8</v>
      </c>
      <c r="Y112" s="39">
        <f t="shared" si="78"/>
        <v>0.94117647058823517</v>
      </c>
      <c r="Z112" s="37">
        <f t="shared" si="71"/>
        <v>2.4150326797385624</v>
      </c>
      <c r="AA112" s="37">
        <f t="shared" si="72"/>
        <v>1.9633343983972629</v>
      </c>
      <c r="AB112" s="37">
        <v>0</v>
      </c>
      <c r="AC112" s="37">
        <f t="shared" si="79"/>
        <v>7.7093639198598837E-2</v>
      </c>
      <c r="AD112" s="40">
        <f t="shared" si="62"/>
        <v>7.7093639198598837E-2</v>
      </c>
      <c r="AE112" s="39">
        <f t="shared" si="70"/>
        <v>0.38888888888888884</v>
      </c>
      <c r="AF112" s="37">
        <f t="shared" si="63"/>
        <v>0.87802983547598668</v>
      </c>
      <c r="AG112" s="37">
        <f t="shared" si="80"/>
        <v>3.5463074031355456E-3</v>
      </c>
      <c r="AH112" s="37">
        <f t="shared" si="81"/>
        <v>0.85014515680411662</v>
      </c>
      <c r="AI112" s="40">
        <f t="shared" si="64"/>
        <v>0.85369146420725217</v>
      </c>
      <c r="AJ112" s="39">
        <f t="shared" si="65"/>
        <v>1.5555555555555558</v>
      </c>
      <c r="AK112" s="37">
        <f t="shared" si="82"/>
        <v>1.7560596709519736</v>
      </c>
      <c r="AL112" s="37">
        <f t="shared" si="83"/>
        <v>0.81200000000000006</v>
      </c>
      <c r="AM112" s="37">
        <f t="shared" si="84"/>
        <v>0.22935</v>
      </c>
      <c r="AN112" s="40">
        <f t="shared" si="66"/>
        <v>1.04135</v>
      </c>
      <c r="AO112" s="39">
        <f t="shared" si="85"/>
        <v>7.7093639198598822E-3</v>
      </c>
      <c r="AP112" s="37">
        <f t="shared" si="86"/>
        <v>0.19946250000000001</v>
      </c>
      <c r="AQ112" s="40">
        <f t="shared" si="87"/>
        <v>1.0800000000000001E-2</v>
      </c>
      <c r="AR112" s="39">
        <f t="shared" si="67"/>
        <v>2.1901069673257112</v>
      </c>
      <c r="AS112" s="37">
        <f t="shared" si="68"/>
        <v>42.000000000000007</v>
      </c>
      <c r="AT112" s="40">
        <f t="shared" si="69"/>
        <v>95.043897565251243</v>
      </c>
    </row>
    <row r="113" spans="17:46" x14ac:dyDescent="0.25">
      <c r="Q113">
        <v>106</v>
      </c>
      <c r="R113" s="39">
        <f t="shared" si="45"/>
        <v>30</v>
      </c>
      <c r="S113" s="37">
        <f t="shared" si="73"/>
        <v>1.4133333333333333</v>
      </c>
      <c r="T113" s="37">
        <f t="shared" si="47"/>
        <v>24</v>
      </c>
      <c r="U113" s="40">
        <f t="shared" si="74"/>
        <v>1.9629629629629628</v>
      </c>
      <c r="V113" s="39">
        <f t="shared" si="75"/>
        <v>2</v>
      </c>
      <c r="W113" s="37">
        <f t="shared" si="76"/>
        <v>0.19999999999999996</v>
      </c>
      <c r="X113" s="40">
        <f t="shared" si="77"/>
        <v>0.8</v>
      </c>
      <c r="Y113" s="39">
        <f t="shared" si="78"/>
        <v>0.94117647058823517</v>
      </c>
      <c r="Z113" s="37">
        <f t="shared" si="71"/>
        <v>2.4335511982570806</v>
      </c>
      <c r="AA113" s="37">
        <f t="shared" si="72"/>
        <v>1.9816764005163434</v>
      </c>
      <c r="AB113" s="37">
        <v>0</v>
      </c>
      <c r="AC113" s="37">
        <f t="shared" si="79"/>
        <v>7.8540827127268231E-2</v>
      </c>
      <c r="AD113" s="40">
        <f t="shared" si="62"/>
        <v>7.8540827127268231E-2</v>
      </c>
      <c r="AE113" s="39">
        <f t="shared" si="70"/>
        <v>0.39259259259259249</v>
      </c>
      <c r="AF113" s="37">
        <f t="shared" si="63"/>
        <v>0.88623262819232862</v>
      </c>
      <c r="AG113" s="37">
        <f t="shared" si="80"/>
        <v>3.612878047854338E-3</v>
      </c>
      <c r="AH113" s="37">
        <f t="shared" si="81"/>
        <v>0.85824177734510798</v>
      </c>
      <c r="AI113" s="40">
        <f t="shared" si="64"/>
        <v>0.86185465539296235</v>
      </c>
      <c r="AJ113" s="39">
        <f t="shared" si="65"/>
        <v>1.5703703703703704</v>
      </c>
      <c r="AK113" s="37">
        <f t="shared" si="82"/>
        <v>1.7724652563846575</v>
      </c>
      <c r="AL113" s="37">
        <f t="shared" si="83"/>
        <v>0.81973333333333331</v>
      </c>
      <c r="AM113" s="37">
        <f t="shared" si="84"/>
        <v>0.22935</v>
      </c>
      <c r="AN113" s="40">
        <f t="shared" si="66"/>
        <v>1.0490833333333334</v>
      </c>
      <c r="AO113" s="39">
        <f t="shared" si="85"/>
        <v>7.8540827127268221E-3</v>
      </c>
      <c r="AP113" s="37">
        <f t="shared" si="86"/>
        <v>0.19946250000000001</v>
      </c>
      <c r="AQ113" s="40">
        <f t="shared" si="87"/>
        <v>1.0800000000000001E-2</v>
      </c>
      <c r="AR113" s="39">
        <f t="shared" si="67"/>
        <v>2.2075953985662911</v>
      </c>
      <c r="AS113" s="37">
        <f t="shared" si="68"/>
        <v>42.4</v>
      </c>
      <c r="AT113" s="40">
        <f t="shared" si="69"/>
        <v>95.051077335952428</v>
      </c>
    </row>
    <row r="114" spans="17:46" x14ac:dyDescent="0.25">
      <c r="Q114">
        <v>107</v>
      </c>
      <c r="R114" s="39">
        <f t="shared" si="45"/>
        <v>30</v>
      </c>
      <c r="S114" s="37">
        <f t="shared" si="73"/>
        <v>1.4266666666666667</v>
      </c>
      <c r="T114" s="37">
        <f t="shared" si="47"/>
        <v>24</v>
      </c>
      <c r="U114" s="40">
        <f t="shared" si="74"/>
        <v>1.9814814814814816</v>
      </c>
      <c r="V114" s="39">
        <f t="shared" si="75"/>
        <v>2</v>
      </c>
      <c r="W114" s="37">
        <f t="shared" si="76"/>
        <v>0.19999999999999996</v>
      </c>
      <c r="X114" s="40">
        <f t="shared" si="77"/>
        <v>0.8</v>
      </c>
      <c r="Y114" s="39">
        <f t="shared" si="78"/>
        <v>0.94117647058823517</v>
      </c>
      <c r="Z114" s="37">
        <f t="shared" si="71"/>
        <v>2.4520697167755992</v>
      </c>
      <c r="AA114" s="37">
        <f t="shared" si="72"/>
        <v>2.0000216558460373</v>
      </c>
      <c r="AB114" s="37">
        <v>0</v>
      </c>
      <c r="AC114" s="37">
        <f t="shared" si="79"/>
        <v>8.0001732477062507E-2</v>
      </c>
      <c r="AD114" s="40">
        <f t="shared" si="62"/>
        <v>8.0001732477062507E-2</v>
      </c>
      <c r="AE114" s="39">
        <f t="shared" si="70"/>
        <v>0.39629629629629626</v>
      </c>
      <c r="AF114" s="37">
        <f t="shared" si="63"/>
        <v>0.89443687578868569</v>
      </c>
      <c r="AG114" s="37">
        <f t="shared" si="80"/>
        <v>3.6800796939448735E-3</v>
      </c>
      <c r="AH114" s="37">
        <f t="shared" si="81"/>
        <v>0.86633839788609968</v>
      </c>
      <c r="AI114" s="40">
        <f t="shared" si="64"/>
        <v>0.87001847758004458</v>
      </c>
      <c r="AJ114" s="39">
        <f t="shared" si="65"/>
        <v>1.5851851851851855</v>
      </c>
      <c r="AK114" s="37">
        <f t="shared" si="82"/>
        <v>1.7888737515773716</v>
      </c>
      <c r="AL114" s="37">
        <f t="shared" si="83"/>
        <v>0.82746666666666668</v>
      </c>
      <c r="AM114" s="37">
        <f t="shared" si="84"/>
        <v>0.22935</v>
      </c>
      <c r="AN114" s="40">
        <f t="shared" si="66"/>
        <v>1.0568166666666667</v>
      </c>
      <c r="AO114" s="39">
        <f t="shared" si="85"/>
        <v>8.0001732477062472E-3</v>
      </c>
      <c r="AP114" s="37">
        <f t="shared" si="86"/>
        <v>0.19946250000000001</v>
      </c>
      <c r="AQ114" s="40">
        <f t="shared" si="87"/>
        <v>1.0800000000000001E-2</v>
      </c>
      <c r="AR114" s="39">
        <f t="shared" si="67"/>
        <v>2.2250995499714801</v>
      </c>
      <c r="AS114" s="37">
        <f t="shared" si="68"/>
        <v>42.800000000000004</v>
      </c>
      <c r="AT114" s="40">
        <f t="shared" si="69"/>
        <v>95.058090771122153</v>
      </c>
    </row>
    <row r="115" spans="17:46" x14ac:dyDescent="0.25">
      <c r="Q115">
        <v>108</v>
      </c>
      <c r="R115" s="39">
        <f t="shared" si="45"/>
        <v>30</v>
      </c>
      <c r="S115" s="37">
        <f t="shared" si="73"/>
        <v>1.4400000000000002</v>
      </c>
      <c r="T115" s="37">
        <f t="shared" si="47"/>
        <v>24</v>
      </c>
      <c r="U115" s="40">
        <f t="shared" si="74"/>
        <v>2</v>
      </c>
      <c r="V115" s="39">
        <f t="shared" si="75"/>
        <v>2</v>
      </c>
      <c r="W115" s="37">
        <f t="shared" si="76"/>
        <v>0.19999999999999996</v>
      </c>
      <c r="X115" s="40">
        <f t="shared" si="77"/>
        <v>0.8</v>
      </c>
      <c r="Y115" s="39">
        <f t="shared" si="78"/>
        <v>0.94117647058823517</v>
      </c>
      <c r="Z115" s="37">
        <f t="shared" si="71"/>
        <v>2.4705882352941178</v>
      </c>
      <c r="AA115" s="37">
        <f t="shared" si="72"/>
        <v>2.0183700756796501</v>
      </c>
      <c r="AB115" s="37">
        <v>0</v>
      </c>
      <c r="AC115" s="37">
        <f t="shared" si="79"/>
        <v>8.1476355247981525E-2</v>
      </c>
      <c r="AD115" s="40">
        <f t="shared" si="62"/>
        <v>8.1476355247981525E-2</v>
      </c>
      <c r="AE115" s="39">
        <f t="shared" si="70"/>
        <v>0.39999999999999991</v>
      </c>
      <c r="AF115" s="37">
        <f t="shared" si="63"/>
        <v>0.9026425385942185</v>
      </c>
      <c r="AG115" s="37">
        <f t="shared" si="80"/>
        <v>3.7479123414071499E-3</v>
      </c>
      <c r="AH115" s="37">
        <f t="shared" si="81"/>
        <v>0.87443501842709126</v>
      </c>
      <c r="AI115" s="40">
        <f t="shared" si="64"/>
        <v>0.8781829307684984</v>
      </c>
      <c r="AJ115" s="39">
        <f t="shared" si="65"/>
        <v>1.6</v>
      </c>
      <c r="AK115" s="37">
        <f t="shared" si="82"/>
        <v>1.8052850771884372</v>
      </c>
      <c r="AL115" s="37">
        <f t="shared" si="83"/>
        <v>0.83520000000000005</v>
      </c>
      <c r="AM115" s="37">
        <f t="shared" si="84"/>
        <v>0.22935</v>
      </c>
      <c r="AN115" s="40">
        <f t="shared" si="66"/>
        <v>1.0645500000000001</v>
      </c>
      <c r="AO115" s="39">
        <f t="shared" si="85"/>
        <v>8.1476355247981531E-3</v>
      </c>
      <c r="AP115" s="37">
        <f t="shared" si="86"/>
        <v>0.19946250000000001</v>
      </c>
      <c r="AQ115" s="40">
        <f t="shared" si="87"/>
        <v>1.0800000000000001E-2</v>
      </c>
      <c r="AR115" s="39">
        <f t="shared" si="67"/>
        <v>2.2426194215412787</v>
      </c>
      <c r="AS115" s="37">
        <f t="shared" si="68"/>
        <v>43.2</v>
      </c>
      <c r="AT115" s="40">
        <f t="shared" si="69"/>
        <v>95.064942448105882</v>
      </c>
    </row>
    <row r="116" spans="17:46" x14ac:dyDescent="0.25">
      <c r="Q116">
        <v>109</v>
      </c>
      <c r="R116" s="39">
        <f t="shared" si="45"/>
        <v>30</v>
      </c>
      <c r="S116" s="37">
        <f t="shared" si="73"/>
        <v>1.4533333333333334</v>
      </c>
      <c r="T116" s="37">
        <f t="shared" si="47"/>
        <v>24</v>
      </c>
      <c r="U116" s="40">
        <f t="shared" si="74"/>
        <v>2.0185185185185186</v>
      </c>
      <c r="V116" s="39">
        <f t="shared" si="75"/>
        <v>2</v>
      </c>
      <c r="W116" s="37">
        <f t="shared" si="76"/>
        <v>0.19999999999999996</v>
      </c>
      <c r="X116" s="40">
        <f t="shared" si="77"/>
        <v>0.8</v>
      </c>
      <c r="Y116" s="39">
        <f t="shared" si="78"/>
        <v>0.94117647058823517</v>
      </c>
      <c r="Z116" s="37">
        <f t="shared" si="71"/>
        <v>2.4891067538126364</v>
      </c>
      <c r="AA116" s="37">
        <f t="shared" si="72"/>
        <v>2.0367215744920246</v>
      </c>
      <c r="AB116" s="37">
        <v>0</v>
      </c>
      <c r="AC116" s="37">
        <f t="shared" si="79"/>
        <v>8.2964695440025452E-2</v>
      </c>
      <c r="AD116" s="40">
        <f t="shared" si="62"/>
        <v>8.2964695440025452E-2</v>
      </c>
      <c r="AE116" s="39">
        <f t="shared" si="70"/>
        <v>0.40370370370370362</v>
      </c>
      <c r="AF116" s="37">
        <f t="shared" si="63"/>
        <v>0.91084957836091374</v>
      </c>
      <c r="AG116" s="37">
        <f t="shared" si="80"/>
        <v>3.8163759902411702E-3</v>
      </c>
      <c r="AH116" s="37">
        <f t="shared" si="81"/>
        <v>0.88253163896808284</v>
      </c>
      <c r="AI116" s="40">
        <f t="shared" si="64"/>
        <v>0.88634801495832405</v>
      </c>
      <c r="AJ116" s="39">
        <f t="shared" si="65"/>
        <v>1.6148148148148149</v>
      </c>
      <c r="AK116" s="37">
        <f t="shared" si="82"/>
        <v>1.8216991567218277</v>
      </c>
      <c r="AL116" s="37">
        <f t="shared" si="83"/>
        <v>0.84293333333333331</v>
      </c>
      <c r="AM116" s="37">
        <f t="shared" si="84"/>
        <v>0.22935</v>
      </c>
      <c r="AN116" s="40">
        <f t="shared" si="66"/>
        <v>1.0722833333333333</v>
      </c>
      <c r="AO116" s="39">
        <f t="shared" si="85"/>
        <v>8.2964695440025434E-3</v>
      </c>
      <c r="AP116" s="37">
        <f t="shared" si="86"/>
        <v>0.19946250000000001</v>
      </c>
      <c r="AQ116" s="40">
        <f t="shared" si="87"/>
        <v>1.0800000000000001E-2</v>
      </c>
      <c r="AR116" s="39">
        <f t="shared" si="67"/>
        <v>2.2601550132756856</v>
      </c>
      <c r="AS116" s="37">
        <f t="shared" si="68"/>
        <v>43.6</v>
      </c>
      <c r="AT116" s="40">
        <f t="shared" si="69"/>
        <v>95.071636777892678</v>
      </c>
    </row>
    <row r="117" spans="17:46" x14ac:dyDescent="0.25">
      <c r="Q117">
        <v>110</v>
      </c>
      <c r="R117" s="39">
        <f t="shared" si="45"/>
        <v>30</v>
      </c>
      <c r="S117" s="37">
        <f t="shared" si="73"/>
        <v>1.4666666666666668</v>
      </c>
      <c r="T117" s="37">
        <f t="shared" si="47"/>
        <v>24</v>
      </c>
      <c r="U117" s="40">
        <f t="shared" si="74"/>
        <v>2.0370370370370368</v>
      </c>
      <c r="V117" s="39">
        <f t="shared" si="75"/>
        <v>2</v>
      </c>
      <c r="W117" s="37">
        <f t="shared" si="76"/>
        <v>0.19999999999999996</v>
      </c>
      <c r="X117" s="40">
        <f t="shared" si="77"/>
        <v>0.8</v>
      </c>
      <c r="Y117" s="39">
        <f t="shared" si="78"/>
        <v>0.94117647058823517</v>
      </c>
      <c r="Z117" s="37">
        <f t="shared" si="71"/>
        <v>2.5076252723311545</v>
      </c>
      <c r="AA117" s="37">
        <f t="shared" si="72"/>
        <v>2.055076069798806</v>
      </c>
      <c r="AB117" s="37">
        <v>0</v>
      </c>
      <c r="AC117" s="37">
        <f t="shared" si="79"/>
        <v>8.4466753053194135E-2</v>
      </c>
      <c r="AD117" s="40">
        <f t="shared" si="62"/>
        <v>8.4466753053194135E-2</v>
      </c>
      <c r="AE117" s="39">
        <f t="shared" si="70"/>
        <v>0.40740740740740727</v>
      </c>
      <c r="AF117" s="37">
        <f t="shared" si="63"/>
        <v>0.91905795820064651</v>
      </c>
      <c r="AG117" s="37">
        <f t="shared" si="80"/>
        <v>3.8854706404469301E-3</v>
      </c>
      <c r="AH117" s="37">
        <f t="shared" si="81"/>
        <v>0.89062825950907432</v>
      </c>
      <c r="AI117" s="40">
        <f t="shared" si="64"/>
        <v>0.89451373014952129</v>
      </c>
      <c r="AJ117" s="39">
        <f t="shared" si="65"/>
        <v>1.6296296296296295</v>
      </c>
      <c r="AK117" s="37">
        <f t="shared" si="82"/>
        <v>1.8381159164012932</v>
      </c>
      <c r="AL117" s="37">
        <f t="shared" si="83"/>
        <v>0.85066666666666668</v>
      </c>
      <c r="AM117" s="37">
        <f t="shared" si="84"/>
        <v>0.22935</v>
      </c>
      <c r="AN117" s="40">
        <f t="shared" si="66"/>
        <v>1.0800166666666666</v>
      </c>
      <c r="AO117" s="39">
        <f t="shared" si="85"/>
        <v>8.4466753053194128E-3</v>
      </c>
      <c r="AP117" s="37">
        <f t="shared" si="86"/>
        <v>0.19946250000000001</v>
      </c>
      <c r="AQ117" s="40">
        <f t="shared" si="87"/>
        <v>1.0800000000000001E-2</v>
      </c>
      <c r="AR117" s="39">
        <f t="shared" si="67"/>
        <v>2.2777063251747016</v>
      </c>
      <c r="AS117" s="37">
        <f t="shared" si="68"/>
        <v>44</v>
      </c>
      <c r="AT117" s="40">
        <f t="shared" si="69"/>
        <v>95.078178012604624</v>
      </c>
    </row>
    <row r="118" spans="17:46" x14ac:dyDescent="0.25">
      <c r="Q118">
        <v>111</v>
      </c>
      <c r="R118" s="39">
        <f t="shared" si="45"/>
        <v>30</v>
      </c>
      <c r="S118" s="37">
        <f t="shared" si="73"/>
        <v>1.4800000000000002</v>
      </c>
      <c r="T118" s="37">
        <f t="shared" si="47"/>
        <v>24</v>
      </c>
      <c r="U118" s="40">
        <f t="shared" si="74"/>
        <v>2.0555555555555558</v>
      </c>
      <c r="V118" s="39">
        <f t="shared" si="75"/>
        <v>2</v>
      </c>
      <c r="W118" s="37">
        <f t="shared" si="76"/>
        <v>0.19999999999999996</v>
      </c>
      <c r="X118" s="40">
        <f t="shared" si="77"/>
        <v>0.8</v>
      </c>
      <c r="Y118" s="39">
        <f t="shared" si="78"/>
        <v>0.94117647058823517</v>
      </c>
      <c r="Z118" s="37">
        <f t="shared" si="71"/>
        <v>2.5261437908496736</v>
      </c>
      <c r="AA118" s="37">
        <f t="shared" si="72"/>
        <v>2.0734334820230877</v>
      </c>
      <c r="AB118" s="37">
        <v>0</v>
      </c>
      <c r="AC118" s="37">
        <f t="shared" si="79"/>
        <v>8.5982528087487714E-2</v>
      </c>
      <c r="AD118" s="40">
        <f t="shared" si="62"/>
        <v>8.5982528087487714E-2</v>
      </c>
      <c r="AE118" s="39">
        <f t="shared" si="70"/>
        <v>0.41111111111111109</v>
      </c>
      <c r="AF118" s="37">
        <f t="shared" si="63"/>
        <v>0.9272676425255425</v>
      </c>
      <c r="AG118" s="37">
        <f t="shared" si="80"/>
        <v>3.9551962920244352E-3</v>
      </c>
      <c r="AH118" s="37">
        <f t="shared" si="81"/>
        <v>0.89872488005006601</v>
      </c>
      <c r="AI118" s="40">
        <f t="shared" si="64"/>
        <v>0.90268007634209046</v>
      </c>
      <c r="AJ118" s="39">
        <f t="shared" si="65"/>
        <v>1.6444444444444448</v>
      </c>
      <c r="AK118" s="37">
        <f t="shared" si="82"/>
        <v>1.8545352850510852</v>
      </c>
      <c r="AL118" s="37">
        <f t="shared" si="83"/>
        <v>0.85840000000000005</v>
      </c>
      <c r="AM118" s="37">
        <f t="shared" si="84"/>
        <v>0.22935</v>
      </c>
      <c r="AN118" s="40">
        <f t="shared" si="66"/>
        <v>1.08775</v>
      </c>
      <c r="AO118" s="39">
        <f t="shared" si="85"/>
        <v>8.5982528087487735E-3</v>
      </c>
      <c r="AP118" s="37">
        <f t="shared" si="86"/>
        <v>0.19946250000000001</v>
      </c>
      <c r="AQ118" s="40">
        <f t="shared" si="87"/>
        <v>1.0800000000000001E-2</v>
      </c>
      <c r="AR118" s="39">
        <f t="shared" si="67"/>
        <v>2.2952733572383268</v>
      </c>
      <c r="AS118" s="37">
        <f t="shared" si="68"/>
        <v>44.400000000000006</v>
      </c>
      <c r="AT118" s="40">
        <f t="shared" si="69"/>
        <v>95.084570252585237</v>
      </c>
    </row>
    <row r="119" spans="17:46" x14ac:dyDescent="0.25">
      <c r="Q119">
        <v>112</v>
      </c>
      <c r="R119" s="39">
        <f t="shared" si="45"/>
        <v>30</v>
      </c>
      <c r="S119" s="37">
        <f t="shared" si="73"/>
        <v>1.4933333333333334</v>
      </c>
      <c r="T119" s="37">
        <f t="shared" si="47"/>
        <v>24</v>
      </c>
      <c r="U119" s="40">
        <f t="shared" si="74"/>
        <v>2.074074074074074</v>
      </c>
      <c r="V119" s="39">
        <f t="shared" si="75"/>
        <v>2</v>
      </c>
      <c r="W119" s="37">
        <f t="shared" si="76"/>
        <v>0.19999999999999996</v>
      </c>
      <c r="X119" s="40">
        <f t="shared" si="77"/>
        <v>0.8</v>
      </c>
      <c r="Y119" s="39">
        <f t="shared" si="78"/>
        <v>0.94117647058823517</v>
      </c>
      <c r="Z119" s="37">
        <f t="shared" si="71"/>
        <v>2.5446623093681917</v>
      </c>
      <c r="AA119" s="37">
        <f t="shared" si="72"/>
        <v>2.0917937343689754</v>
      </c>
      <c r="AB119" s="37">
        <v>0</v>
      </c>
      <c r="AC119" s="37">
        <f t="shared" si="79"/>
        <v>8.7512020542906063E-2</v>
      </c>
      <c r="AD119" s="40">
        <f t="shared" si="62"/>
        <v>8.7512020542906063E-2</v>
      </c>
      <c r="AE119" s="39">
        <f t="shared" si="70"/>
        <v>0.41481481481481469</v>
      </c>
      <c r="AF119" s="37">
        <f t="shared" si="63"/>
        <v>0.93547859699143343</v>
      </c>
      <c r="AG119" s="37">
        <f t="shared" si="80"/>
        <v>4.0255529449736791E-3</v>
      </c>
      <c r="AH119" s="37">
        <f t="shared" si="81"/>
        <v>0.90682150059105759</v>
      </c>
      <c r="AI119" s="40">
        <f t="shared" si="64"/>
        <v>0.91084705353603124</v>
      </c>
      <c r="AJ119" s="39">
        <f t="shared" si="65"/>
        <v>1.6592592592592592</v>
      </c>
      <c r="AK119" s="37">
        <f t="shared" si="82"/>
        <v>1.8709571939828671</v>
      </c>
      <c r="AL119" s="37">
        <f t="shared" si="83"/>
        <v>0.86613333333333331</v>
      </c>
      <c r="AM119" s="37">
        <f t="shared" si="84"/>
        <v>0.22935</v>
      </c>
      <c r="AN119" s="40">
        <f t="shared" si="66"/>
        <v>1.0954833333333334</v>
      </c>
      <c r="AO119" s="39">
        <f t="shared" si="85"/>
        <v>8.7512020542906081E-3</v>
      </c>
      <c r="AP119" s="37">
        <f t="shared" si="86"/>
        <v>0.19946250000000001</v>
      </c>
      <c r="AQ119" s="40">
        <f t="shared" si="87"/>
        <v>1.0800000000000001E-2</v>
      </c>
      <c r="AR119" s="39">
        <f t="shared" si="67"/>
        <v>2.3128561094665612</v>
      </c>
      <c r="AS119" s="37">
        <f t="shared" si="68"/>
        <v>44.800000000000004</v>
      </c>
      <c r="AT119" s="40">
        <f t="shared" si="69"/>
        <v>95.09081745311164</v>
      </c>
    </row>
    <row r="120" spans="17:46" x14ac:dyDescent="0.25">
      <c r="Q120">
        <v>113</v>
      </c>
      <c r="R120" s="39">
        <f t="shared" si="45"/>
        <v>30</v>
      </c>
      <c r="S120" s="37">
        <f t="shared" si="73"/>
        <v>1.5066666666666668</v>
      </c>
      <c r="T120" s="37">
        <f t="shared" si="47"/>
        <v>24</v>
      </c>
      <c r="U120" s="40">
        <f t="shared" si="74"/>
        <v>2.0925925925925926</v>
      </c>
      <c r="V120" s="39">
        <f t="shared" si="75"/>
        <v>2</v>
      </c>
      <c r="W120" s="37">
        <f t="shared" si="76"/>
        <v>0.19999999999999996</v>
      </c>
      <c r="X120" s="40">
        <f t="shared" si="77"/>
        <v>0.8</v>
      </c>
      <c r="Y120" s="39">
        <f t="shared" si="78"/>
        <v>0.94117647058823517</v>
      </c>
      <c r="Z120" s="37">
        <f t="shared" si="71"/>
        <v>2.5631808278867103</v>
      </c>
      <c r="AA120" s="37">
        <f t="shared" si="72"/>
        <v>2.110156752701672</v>
      </c>
      <c r="AB120" s="37">
        <v>0</v>
      </c>
      <c r="AC120" s="37">
        <f t="shared" si="79"/>
        <v>8.9055230419449322E-2</v>
      </c>
      <c r="AD120" s="40">
        <f t="shared" si="62"/>
        <v>8.9055230419449322E-2</v>
      </c>
      <c r="AE120" s="39">
        <f t="shared" si="70"/>
        <v>0.4185185185185184</v>
      </c>
      <c r="AF120" s="37">
        <f t="shared" si="63"/>
        <v>0.94369078844423027</v>
      </c>
      <c r="AG120" s="37">
        <f t="shared" si="80"/>
        <v>4.0965405992946678E-3</v>
      </c>
      <c r="AH120" s="37">
        <f t="shared" si="81"/>
        <v>0.91491812113204918</v>
      </c>
      <c r="AI120" s="40">
        <f t="shared" si="64"/>
        <v>0.91901466173134383</v>
      </c>
      <c r="AJ120" s="39">
        <f t="shared" si="65"/>
        <v>1.674074074074074</v>
      </c>
      <c r="AK120" s="37">
        <f t="shared" si="82"/>
        <v>1.8873815768884608</v>
      </c>
      <c r="AL120" s="37">
        <f t="shared" si="83"/>
        <v>0.87386666666666668</v>
      </c>
      <c r="AM120" s="37">
        <f t="shared" si="84"/>
        <v>0.22935</v>
      </c>
      <c r="AN120" s="40">
        <f t="shared" si="66"/>
        <v>1.1032166666666667</v>
      </c>
      <c r="AO120" s="39">
        <f t="shared" si="85"/>
        <v>8.9055230419449304E-3</v>
      </c>
      <c r="AP120" s="37">
        <f t="shared" si="86"/>
        <v>0.19946250000000001</v>
      </c>
      <c r="AQ120" s="40">
        <f t="shared" si="87"/>
        <v>1.0800000000000001E-2</v>
      </c>
      <c r="AR120" s="39">
        <f t="shared" si="67"/>
        <v>2.3304545818594051</v>
      </c>
      <c r="AS120" s="37">
        <f t="shared" si="68"/>
        <v>45.2</v>
      </c>
      <c r="AT120" s="40">
        <f t="shared" si="69"/>
        <v>95.096923430753691</v>
      </c>
    </row>
    <row r="121" spans="17:46" x14ac:dyDescent="0.25">
      <c r="Q121">
        <v>114</v>
      </c>
      <c r="R121" s="39">
        <f t="shared" si="45"/>
        <v>30</v>
      </c>
      <c r="S121" s="37">
        <f t="shared" si="73"/>
        <v>1.52</v>
      </c>
      <c r="T121" s="37">
        <f t="shared" si="47"/>
        <v>24</v>
      </c>
      <c r="U121" s="40">
        <f t="shared" si="74"/>
        <v>2.1111111111111112</v>
      </c>
      <c r="V121" s="39">
        <f t="shared" si="75"/>
        <v>2</v>
      </c>
      <c r="W121" s="37">
        <f t="shared" si="76"/>
        <v>0.19999999999999996</v>
      </c>
      <c r="X121" s="40">
        <f t="shared" si="77"/>
        <v>0.8</v>
      </c>
      <c r="Y121" s="39">
        <f t="shared" si="78"/>
        <v>0.94117647058823517</v>
      </c>
      <c r="Z121" s="37">
        <f t="shared" si="71"/>
        <v>2.5816993464052289</v>
      </c>
      <c r="AA121" s="37">
        <f t="shared" si="72"/>
        <v>2.128522465433679</v>
      </c>
      <c r="AB121" s="37">
        <v>0</v>
      </c>
      <c r="AC121" s="37">
        <f t="shared" si="79"/>
        <v>9.0612157717117336E-2</v>
      </c>
      <c r="AD121" s="40">
        <f t="shared" si="62"/>
        <v>9.0612157717117336E-2</v>
      </c>
      <c r="AE121" s="39">
        <f t="shared" si="70"/>
        <v>0.42222222222222217</v>
      </c>
      <c r="AF121" s="37">
        <f t="shared" si="63"/>
        <v>0.9519041848690305</v>
      </c>
      <c r="AG121" s="37">
        <f t="shared" si="80"/>
        <v>4.1681592549873978E-3</v>
      </c>
      <c r="AH121" s="37">
        <f t="shared" si="81"/>
        <v>0.92301474167304076</v>
      </c>
      <c r="AI121" s="40">
        <f t="shared" si="64"/>
        <v>0.92718290092802813</v>
      </c>
      <c r="AJ121" s="39">
        <f t="shared" si="65"/>
        <v>1.6888888888888891</v>
      </c>
      <c r="AK121" s="37">
        <f t="shared" si="82"/>
        <v>1.9038083697380612</v>
      </c>
      <c r="AL121" s="37">
        <f t="shared" si="83"/>
        <v>0.88159999999999994</v>
      </c>
      <c r="AM121" s="37">
        <f t="shared" si="84"/>
        <v>0.22935</v>
      </c>
      <c r="AN121" s="40">
        <f t="shared" si="66"/>
        <v>1.1109499999999999</v>
      </c>
      <c r="AO121" s="39">
        <f t="shared" si="85"/>
        <v>9.0612157717117336E-3</v>
      </c>
      <c r="AP121" s="37">
        <f t="shared" si="86"/>
        <v>0.19946250000000001</v>
      </c>
      <c r="AQ121" s="40">
        <f t="shared" si="87"/>
        <v>1.0800000000000001E-2</v>
      </c>
      <c r="AR121" s="39">
        <f t="shared" si="67"/>
        <v>2.3480687744168574</v>
      </c>
      <c r="AS121" s="37">
        <f t="shared" si="68"/>
        <v>45.6</v>
      </c>
      <c r="AT121" s="40">
        <f t="shared" si="69"/>
        <v>95.102891869401645</v>
      </c>
    </row>
    <row r="122" spans="17:46" x14ac:dyDescent="0.25">
      <c r="Q122">
        <v>115</v>
      </c>
      <c r="R122" s="39">
        <f t="shared" si="45"/>
        <v>30</v>
      </c>
      <c r="S122" s="37">
        <f t="shared" si="73"/>
        <v>1.5333333333333334</v>
      </c>
      <c r="T122" s="37">
        <f t="shared" si="47"/>
        <v>24</v>
      </c>
      <c r="U122" s="40">
        <f t="shared" si="74"/>
        <v>2.1296296296296293</v>
      </c>
      <c r="V122" s="39">
        <f t="shared" si="75"/>
        <v>2</v>
      </c>
      <c r="W122" s="37">
        <f t="shared" si="76"/>
        <v>0.19999999999999996</v>
      </c>
      <c r="X122" s="40">
        <f t="shared" si="77"/>
        <v>0.8</v>
      </c>
      <c r="Y122" s="39">
        <f t="shared" si="78"/>
        <v>0.94117647058823517</v>
      </c>
      <c r="Z122" s="37">
        <f t="shared" si="71"/>
        <v>2.6002178649237471</v>
      </c>
      <c r="AA122" s="37">
        <f t="shared" si="72"/>
        <v>2.1468908034167713</v>
      </c>
      <c r="AB122" s="37">
        <v>0</v>
      </c>
      <c r="AC122" s="37">
        <f t="shared" si="79"/>
        <v>9.2182802435910191E-2</v>
      </c>
      <c r="AD122" s="40">
        <f t="shared" si="62"/>
        <v>9.2182802435910191E-2</v>
      </c>
      <c r="AE122" s="39">
        <f t="shared" si="70"/>
        <v>0.42592592592592576</v>
      </c>
      <c r="AF122" s="37">
        <f t="shared" si="63"/>
        <v>0.96011875534180768</v>
      </c>
      <c r="AG122" s="37">
        <f t="shared" si="80"/>
        <v>4.2404089120518691E-3</v>
      </c>
      <c r="AH122" s="37">
        <f t="shared" si="81"/>
        <v>0.93111136221403212</v>
      </c>
      <c r="AI122" s="40">
        <f t="shared" si="64"/>
        <v>0.93535177112608403</v>
      </c>
      <c r="AJ122" s="39">
        <f t="shared" si="65"/>
        <v>1.7037037037037035</v>
      </c>
      <c r="AK122" s="37">
        <f t="shared" si="82"/>
        <v>1.9202375106836156</v>
      </c>
      <c r="AL122" s="37">
        <f t="shared" si="83"/>
        <v>0.88933333333333331</v>
      </c>
      <c r="AM122" s="37">
        <f t="shared" si="84"/>
        <v>0.22935</v>
      </c>
      <c r="AN122" s="40">
        <f t="shared" si="66"/>
        <v>1.1186833333333333</v>
      </c>
      <c r="AO122" s="39">
        <f t="shared" si="85"/>
        <v>9.2182802435910195E-3</v>
      </c>
      <c r="AP122" s="37">
        <f t="shared" si="86"/>
        <v>0.19946250000000001</v>
      </c>
      <c r="AQ122" s="40">
        <f t="shared" si="87"/>
        <v>1.0800000000000001E-2</v>
      </c>
      <c r="AR122" s="39">
        <f t="shared" si="67"/>
        <v>2.3656986871389187</v>
      </c>
      <c r="AS122" s="37">
        <f t="shared" si="68"/>
        <v>46</v>
      </c>
      <c r="AT122" s="40">
        <f t="shared" si="69"/>
        <v>95.108726325981948</v>
      </c>
    </row>
    <row r="123" spans="17:46" x14ac:dyDescent="0.25">
      <c r="Q123">
        <v>116</v>
      </c>
      <c r="R123" s="39">
        <f t="shared" si="45"/>
        <v>30</v>
      </c>
      <c r="S123" s="37">
        <f t="shared" si="73"/>
        <v>1.5466666666666669</v>
      </c>
      <c r="T123" s="37">
        <f t="shared" si="47"/>
        <v>24</v>
      </c>
      <c r="U123" s="40">
        <f t="shared" si="74"/>
        <v>2.1481481481481484</v>
      </c>
      <c r="V123" s="39">
        <f t="shared" si="75"/>
        <v>2</v>
      </c>
      <c r="W123" s="37">
        <f t="shared" si="76"/>
        <v>0.19999999999999996</v>
      </c>
      <c r="X123" s="40">
        <f t="shared" si="77"/>
        <v>0.8</v>
      </c>
      <c r="Y123" s="39">
        <f t="shared" si="78"/>
        <v>0.94117647058823517</v>
      </c>
      <c r="Z123" s="37">
        <f t="shared" si="71"/>
        <v>2.6187363834422661</v>
      </c>
      <c r="AA123" s="37">
        <f t="shared" si="72"/>
        <v>2.1652616998393972</v>
      </c>
      <c r="AB123" s="37">
        <v>0</v>
      </c>
      <c r="AC123" s="37">
        <f t="shared" si="79"/>
        <v>9.3767164575827913E-2</v>
      </c>
      <c r="AD123" s="40">
        <f t="shared" si="62"/>
        <v>9.3767164575827913E-2</v>
      </c>
      <c r="AE123" s="39">
        <f t="shared" si="70"/>
        <v>0.42962962962962958</v>
      </c>
      <c r="AF123" s="37">
        <f t="shared" si="63"/>
        <v>0.96833446998352746</v>
      </c>
      <c r="AG123" s="37">
        <f t="shared" si="80"/>
        <v>4.3132895704880835E-3</v>
      </c>
      <c r="AH123" s="37">
        <f t="shared" si="81"/>
        <v>0.93920798275502415</v>
      </c>
      <c r="AI123" s="40">
        <f t="shared" si="64"/>
        <v>0.94352127232551219</v>
      </c>
      <c r="AJ123" s="39">
        <f t="shared" si="65"/>
        <v>1.7185185185185188</v>
      </c>
      <c r="AK123" s="37">
        <f t="shared" si="82"/>
        <v>1.9366689399670551</v>
      </c>
      <c r="AL123" s="37">
        <f t="shared" si="83"/>
        <v>0.89706666666666668</v>
      </c>
      <c r="AM123" s="37">
        <f t="shared" si="84"/>
        <v>0.22935</v>
      </c>
      <c r="AN123" s="40">
        <f t="shared" si="66"/>
        <v>1.1264166666666666</v>
      </c>
      <c r="AO123" s="39">
        <f t="shared" si="85"/>
        <v>9.3767164575827896E-3</v>
      </c>
      <c r="AP123" s="37">
        <f t="shared" si="86"/>
        <v>0.19946250000000001</v>
      </c>
      <c r="AQ123" s="40">
        <f t="shared" si="87"/>
        <v>1.0800000000000001E-2</v>
      </c>
      <c r="AR123" s="39">
        <f t="shared" si="67"/>
        <v>2.3833443200255897</v>
      </c>
      <c r="AS123" s="37">
        <f t="shared" si="68"/>
        <v>46.400000000000006</v>
      </c>
      <c r="AT123" s="40">
        <f t="shared" si="69"/>
        <v>95.114430235880263</v>
      </c>
    </row>
    <row r="124" spans="17:46" x14ac:dyDescent="0.25">
      <c r="Q124">
        <v>117</v>
      </c>
      <c r="R124" s="39">
        <f t="shared" si="45"/>
        <v>30</v>
      </c>
      <c r="S124" s="37">
        <f t="shared" si="73"/>
        <v>1.56</v>
      </c>
      <c r="T124" s="37">
        <f t="shared" si="47"/>
        <v>24</v>
      </c>
      <c r="U124" s="40">
        <f t="shared" si="74"/>
        <v>2.1666666666666665</v>
      </c>
      <c r="V124" s="39">
        <f t="shared" si="75"/>
        <v>2</v>
      </c>
      <c r="W124" s="37">
        <f t="shared" si="76"/>
        <v>0.19999999999999996</v>
      </c>
      <c r="X124" s="40">
        <f t="shared" si="77"/>
        <v>0.8</v>
      </c>
      <c r="Y124" s="39">
        <f t="shared" si="78"/>
        <v>0.94117647058823517</v>
      </c>
      <c r="Z124" s="37">
        <f t="shared" si="71"/>
        <v>2.6372549019607843</v>
      </c>
      <c r="AA124" s="37">
        <f t="shared" si="72"/>
        <v>2.183635090129191</v>
      </c>
      <c r="AB124" s="37">
        <v>0</v>
      </c>
      <c r="AC124" s="37">
        <f t="shared" si="79"/>
        <v>9.5365244136870406E-2</v>
      </c>
      <c r="AD124" s="40">
        <f t="shared" si="62"/>
        <v>9.5365244136870406E-2</v>
      </c>
      <c r="AE124" s="39">
        <f t="shared" si="70"/>
        <v>0.43333333333333318</v>
      </c>
      <c r="AF124" s="37">
        <f t="shared" si="63"/>
        <v>0.97655129991655032</v>
      </c>
      <c r="AG124" s="37">
        <f t="shared" si="80"/>
        <v>4.3868012302960393E-3</v>
      </c>
      <c r="AH124" s="37">
        <f t="shared" si="81"/>
        <v>0.94730460329601551</v>
      </c>
      <c r="AI124" s="40">
        <f t="shared" si="64"/>
        <v>0.95169140452631151</v>
      </c>
      <c r="AJ124" s="39">
        <f t="shared" si="65"/>
        <v>1.7333333333333334</v>
      </c>
      <c r="AK124" s="37">
        <f t="shared" si="82"/>
        <v>1.9531025998331009</v>
      </c>
      <c r="AL124" s="37">
        <f t="shared" si="83"/>
        <v>0.90479999999999994</v>
      </c>
      <c r="AM124" s="37">
        <f t="shared" si="84"/>
        <v>0.22935</v>
      </c>
      <c r="AN124" s="40">
        <f t="shared" si="66"/>
        <v>1.13415</v>
      </c>
      <c r="AO124" s="39">
        <f t="shared" si="85"/>
        <v>9.5365244136870423E-3</v>
      </c>
      <c r="AP124" s="37">
        <f t="shared" si="86"/>
        <v>0.19946250000000001</v>
      </c>
      <c r="AQ124" s="40">
        <f t="shared" si="87"/>
        <v>1.0800000000000001E-2</v>
      </c>
      <c r="AR124" s="39">
        <f t="shared" si="67"/>
        <v>2.4010056730768694</v>
      </c>
      <c r="AS124" s="37">
        <f t="shared" si="68"/>
        <v>46.800000000000004</v>
      </c>
      <c r="AT124" s="40">
        <f t="shared" si="69"/>
        <v>95.120006918088833</v>
      </c>
    </row>
    <row r="125" spans="17:46" x14ac:dyDescent="0.25">
      <c r="Q125">
        <v>118</v>
      </c>
      <c r="R125" s="39">
        <f t="shared" si="45"/>
        <v>30</v>
      </c>
      <c r="S125" s="37">
        <f t="shared" si="73"/>
        <v>1.5733333333333335</v>
      </c>
      <c r="T125" s="37">
        <f t="shared" si="47"/>
        <v>24</v>
      </c>
      <c r="U125" s="40">
        <f t="shared" si="74"/>
        <v>2.1851851851851851</v>
      </c>
      <c r="V125" s="39">
        <f t="shared" si="75"/>
        <v>2</v>
      </c>
      <c r="W125" s="37">
        <f t="shared" si="76"/>
        <v>0.19999999999999996</v>
      </c>
      <c r="X125" s="40">
        <f t="shared" si="77"/>
        <v>0.8</v>
      </c>
      <c r="Y125" s="39">
        <f t="shared" si="78"/>
        <v>0.94117647058823517</v>
      </c>
      <c r="Z125" s="37">
        <f t="shared" si="71"/>
        <v>2.6557734204793029</v>
      </c>
      <c r="AA125" s="37">
        <f t="shared" si="72"/>
        <v>2.2020109118603135</v>
      </c>
      <c r="AB125" s="37">
        <v>0</v>
      </c>
      <c r="AC125" s="37">
        <f t="shared" si="79"/>
        <v>9.6977041119037793E-2</v>
      </c>
      <c r="AD125" s="40">
        <f t="shared" si="62"/>
        <v>9.6977041119037793E-2</v>
      </c>
      <c r="AE125" s="39">
        <f t="shared" si="70"/>
        <v>0.43703703703703695</v>
      </c>
      <c r="AF125" s="37">
        <f t="shared" si="63"/>
        <v>0.98476921722319166</v>
      </c>
      <c r="AG125" s="37">
        <f t="shared" si="80"/>
        <v>4.4609438914757372E-3</v>
      </c>
      <c r="AH125" s="37">
        <f t="shared" si="81"/>
        <v>0.9554012238370071</v>
      </c>
      <c r="AI125" s="40">
        <f t="shared" si="64"/>
        <v>0.95986216772848287</v>
      </c>
      <c r="AJ125" s="39">
        <f t="shared" si="65"/>
        <v>1.7481481481481482</v>
      </c>
      <c r="AK125" s="37">
        <f t="shared" si="82"/>
        <v>1.9695384344463835</v>
      </c>
      <c r="AL125" s="37">
        <f t="shared" si="83"/>
        <v>0.91253333333333331</v>
      </c>
      <c r="AM125" s="37">
        <f t="shared" si="84"/>
        <v>0.22935</v>
      </c>
      <c r="AN125" s="40">
        <f t="shared" si="66"/>
        <v>1.1418833333333334</v>
      </c>
      <c r="AO125" s="39">
        <f t="shared" si="85"/>
        <v>9.6977041119037776E-3</v>
      </c>
      <c r="AP125" s="37">
        <f t="shared" si="86"/>
        <v>0.19946250000000001</v>
      </c>
      <c r="AQ125" s="40">
        <f t="shared" si="87"/>
        <v>1.0800000000000001E-2</v>
      </c>
      <c r="AR125" s="39">
        <f t="shared" si="67"/>
        <v>2.4186827462927583</v>
      </c>
      <c r="AS125" s="37">
        <f t="shared" si="68"/>
        <v>47.2</v>
      </c>
      <c r="AT125" s="40">
        <f t="shared" si="69"/>
        <v>95.125459580094414</v>
      </c>
    </row>
    <row r="126" spans="17:46" x14ac:dyDescent="0.25">
      <c r="Q126">
        <v>119</v>
      </c>
      <c r="R126" s="39">
        <f t="shared" si="45"/>
        <v>30</v>
      </c>
      <c r="S126" s="37">
        <f t="shared" si="73"/>
        <v>1.5866666666666667</v>
      </c>
      <c r="T126" s="37">
        <f t="shared" si="47"/>
        <v>24</v>
      </c>
      <c r="U126" s="40">
        <f t="shared" si="74"/>
        <v>2.2037037037037037</v>
      </c>
      <c r="V126" s="39">
        <f t="shared" si="75"/>
        <v>2</v>
      </c>
      <c r="W126" s="37">
        <f t="shared" si="76"/>
        <v>0.19999999999999996</v>
      </c>
      <c r="X126" s="40">
        <f t="shared" si="77"/>
        <v>0.8</v>
      </c>
      <c r="Y126" s="39">
        <f t="shared" si="78"/>
        <v>0.94117647058823517</v>
      </c>
      <c r="Z126" s="37">
        <f t="shared" si="71"/>
        <v>2.6742919389978215</v>
      </c>
      <c r="AA126" s="37">
        <f t="shared" si="72"/>
        <v>2.2203891046653284</v>
      </c>
      <c r="AB126" s="37">
        <v>0</v>
      </c>
      <c r="AC126" s="37">
        <f t="shared" si="79"/>
        <v>9.8602555522329979E-2</v>
      </c>
      <c r="AD126" s="40">
        <f t="shared" si="62"/>
        <v>9.8602555522329979E-2</v>
      </c>
      <c r="AE126" s="39">
        <f t="shared" si="70"/>
        <v>0.44074074074074066</v>
      </c>
      <c r="AF126" s="37">
        <f t="shared" si="63"/>
        <v>0.99298819490631396</v>
      </c>
      <c r="AG126" s="37">
        <f t="shared" si="80"/>
        <v>4.5357175540271782E-3</v>
      </c>
      <c r="AH126" s="37">
        <f t="shared" si="81"/>
        <v>0.96349784437799879</v>
      </c>
      <c r="AI126" s="40">
        <f t="shared" si="64"/>
        <v>0.96803356193202594</v>
      </c>
      <c r="AJ126" s="39">
        <f t="shared" si="65"/>
        <v>1.7629629629629631</v>
      </c>
      <c r="AK126" s="37">
        <f t="shared" si="82"/>
        <v>1.9859763898126281</v>
      </c>
      <c r="AL126" s="37">
        <f t="shared" si="83"/>
        <v>0.92026666666666657</v>
      </c>
      <c r="AM126" s="37">
        <f t="shared" si="84"/>
        <v>0.22935</v>
      </c>
      <c r="AN126" s="40">
        <f t="shared" si="66"/>
        <v>1.1496166666666665</v>
      </c>
      <c r="AO126" s="39">
        <f t="shared" si="85"/>
        <v>9.8602555522329972E-3</v>
      </c>
      <c r="AP126" s="37">
        <f t="shared" si="86"/>
        <v>0.19946250000000001</v>
      </c>
      <c r="AQ126" s="40">
        <f t="shared" si="87"/>
        <v>1.0800000000000001E-2</v>
      </c>
      <c r="AR126" s="39">
        <f t="shared" si="67"/>
        <v>2.4363755396732558</v>
      </c>
      <c r="AS126" s="37">
        <f t="shared" si="68"/>
        <v>47.6</v>
      </c>
      <c r="AT126" s="40">
        <f t="shared" si="69"/>
        <v>95.130791322521986</v>
      </c>
    </row>
    <row r="127" spans="17:46" x14ac:dyDescent="0.25">
      <c r="Q127">
        <v>120</v>
      </c>
      <c r="R127" s="39">
        <f t="shared" si="45"/>
        <v>30</v>
      </c>
      <c r="S127" s="37">
        <f t="shared" si="73"/>
        <v>1.6</v>
      </c>
      <c r="T127" s="37">
        <f t="shared" si="47"/>
        <v>24</v>
      </c>
      <c r="U127" s="40">
        <f t="shared" si="74"/>
        <v>2.2222222222222219</v>
      </c>
      <c r="V127" s="39">
        <f t="shared" si="75"/>
        <v>2</v>
      </c>
      <c r="W127" s="37">
        <f t="shared" si="76"/>
        <v>0.19999999999999996</v>
      </c>
      <c r="X127" s="40">
        <f t="shared" si="77"/>
        <v>0.8</v>
      </c>
      <c r="Y127" s="39">
        <f t="shared" si="78"/>
        <v>0.94117647058823517</v>
      </c>
      <c r="Z127" s="37">
        <f t="shared" si="71"/>
        <v>2.6928104575163396</v>
      </c>
      <c r="AA127" s="37">
        <f t="shared" si="72"/>
        <v>2.238769610151377</v>
      </c>
      <c r="AB127" s="37">
        <v>0</v>
      </c>
      <c r="AC127" s="37">
        <f t="shared" si="79"/>
        <v>0.10024178734674698</v>
      </c>
      <c r="AD127" s="40">
        <f t="shared" si="62"/>
        <v>0.10024178734674698</v>
      </c>
      <c r="AE127" s="39">
        <f t="shared" si="70"/>
        <v>0.44444444444444425</v>
      </c>
      <c r="AF127" s="37">
        <f t="shared" si="63"/>
        <v>1.0012082068518362</v>
      </c>
      <c r="AG127" s="37">
        <f t="shared" si="80"/>
        <v>4.6111222179503579E-3</v>
      </c>
      <c r="AH127" s="37">
        <f t="shared" si="81"/>
        <v>0.97159446491899015</v>
      </c>
      <c r="AI127" s="40">
        <f t="shared" si="64"/>
        <v>0.9762055871369405</v>
      </c>
      <c r="AJ127" s="39">
        <f t="shared" si="65"/>
        <v>1.7777777777777777</v>
      </c>
      <c r="AK127" s="37">
        <f t="shared" si="82"/>
        <v>2.0024164137036728</v>
      </c>
      <c r="AL127" s="37">
        <f t="shared" si="83"/>
        <v>0.92799999999999994</v>
      </c>
      <c r="AM127" s="37">
        <f t="shared" si="84"/>
        <v>0.22935</v>
      </c>
      <c r="AN127" s="40">
        <f t="shared" si="66"/>
        <v>1.1573499999999999</v>
      </c>
      <c r="AO127" s="39">
        <f t="shared" si="85"/>
        <v>1.0024178734674691E-2</v>
      </c>
      <c r="AP127" s="37">
        <f t="shared" si="86"/>
        <v>0.19946250000000001</v>
      </c>
      <c r="AQ127" s="40">
        <f t="shared" si="87"/>
        <v>1.0800000000000001E-2</v>
      </c>
      <c r="AR127" s="39">
        <f t="shared" si="67"/>
        <v>2.4540840532183621</v>
      </c>
      <c r="AS127" s="37">
        <f t="shared" si="68"/>
        <v>48</v>
      </c>
      <c r="AT127" s="40">
        <f t="shared" si="69"/>
        <v>95.136005143548303</v>
      </c>
    </row>
    <row r="128" spans="17:46" x14ac:dyDescent="0.25">
      <c r="Q128">
        <v>121</v>
      </c>
      <c r="R128" s="39">
        <f t="shared" si="45"/>
        <v>30</v>
      </c>
      <c r="S128" s="37">
        <f t="shared" si="73"/>
        <v>1.6133333333333335</v>
      </c>
      <c r="T128" s="37">
        <f t="shared" si="47"/>
        <v>24</v>
      </c>
      <c r="U128" s="40">
        <f t="shared" si="74"/>
        <v>2.2407407407407409</v>
      </c>
      <c r="V128" s="39">
        <f t="shared" si="75"/>
        <v>2</v>
      </c>
      <c r="W128" s="37">
        <f t="shared" si="76"/>
        <v>0.19999999999999996</v>
      </c>
      <c r="X128" s="40">
        <f t="shared" si="77"/>
        <v>0.8</v>
      </c>
      <c r="Y128" s="39">
        <f t="shared" si="78"/>
        <v>0.94117647058823517</v>
      </c>
      <c r="Z128" s="37">
        <f t="shared" si="71"/>
        <v>2.7113289760348587</v>
      </c>
      <c r="AA128" s="37">
        <f t="shared" si="72"/>
        <v>2.2571523718203963</v>
      </c>
      <c r="AB128" s="37">
        <v>0</v>
      </c>
      <c r="AC128" s="37">
        <f t="shared" si="79"/>
        <v>0.10189473659228881</v>
      </c>
      <c r="AD128" s="40">
        <f t="shared" si="62"/>
        <v>0.10189473659228881</v>
      </c>
      <c r="AE128" s="39">
        <f t="shared" si="70"/>
        <v>0.44814814814814807</v>
      </c>
      <c r="AF128" s="37">
        <f t="shared" si="63"/>
        <v>1.0094292277930574</v>
      </c>
      <c r="AG128" s="37">
        <f t="shared" si="80"/>
        <v>4.6871578832452859E-3</v>
      </c>
      <c r="AH128" s="37">
        <f t="shared" si="81"/>
        <v>0.97969108545998196</v>
      </c>
      <c r="AI128" s="40">
        <f t="shared" si="64"/>
        <v>0.98437824334322721</v>
      </c>
      <c r="AJ128" s="39">
        <f t="shared" si="65"/>
        <v>1.7925925925925927</v>
      </c>
      <c r="AK128" s="37">
        <f t="shared" si="82"/>
        <v>2.0188584555861153</v>
      </c>
      <c r="AL128" s="37">
        <f t="shared" si="83"/>
        <v>0.93573333333333342</v>
      </c>
      <c r="AM128" s="37">
        <f t="shared" si="84"/>
        <v>0.22935</v>
      </c>
      <c r="AN128" s="40">
        <f t="shared" si="66"/>
        <v>1.1650833333333335</v>
      </c>
      <c r="AO128" s="39">
        <f t="shared" si="85"/>
        <v>1.0189473659228883E-2</v>
      </c>
      <c r="AP128" s="37">
        <f t="shared" si="86"/>
        <v>0.19946250000000001</v>
      </c>
      <c r="AQ128" s="40">
        <f t="shared" si="87"/>
        <v>1.0800000000000001E-2</v>
      </c>
      <c r="AR128" s="39">
        <f t="shared" si="67"/>
        <v>2.4718082869280784</v>
      </c>
      <c r="AS128" s="37">
        <f t="shared" si="68"/>
        <v>48.400000000000006</v>
      </c>
      <c r="AT128" s="40">
        <f t="shared" si="69"/>
        <v>95.141103943098415</v>
      </c>
    </row>
    <row r="129" spans="17:46" x14ac:dyDescent="0.25">
      <c r="Q129">
        <v>122</v>
      </c>
      <c r="R129" s="39">
        <f t="shared" si="45"/>
        <v>30</v>
      </c>
      <c r="S129" s="37">
        <f t="shared" si="73"/>
        <v>1.6266666666666667</v>
      </c>
      <c r="T129" s="37">
        <f t="shared" si="47"/>
        <v>24</v>
      </c>
      <c r="U129" s="40">
        <f t="shared" si="74"/>
        <v>2.2592592592592595</v>
      </c>
      <c r="V129" s="39">
        <f t="shared" si="75"/>
        <v>2</v>
      </c>
      <c r="W129" s="37">
        <f t="shared" si="76"/>
        <v>0.19999999999999996</v>
      </c>
      <c r="X129" s="40">
        <f t="shared" si="77"/>
        <v>0.8</v>
      </c>
      <c r="Y129" s="39">
        <f t="shared" si="78"/>
        <v>0.94117647058823517</v>
      </c>
      <c r="Z129" s="37">
        <f t="shared" si="71"/>
        <v>2.7298474945533773</v>
      </c>
      <c r="AA129" s="37">
        <f t="shared" si="72"/>
        <v>2.2755373349931607</v>
      </c>
      <c r="AB129" s="37">
        <v>0</v>
      </c>
      <c r="AC129" s="37">
        <f t="shared" si="79"/>
        <v>0.10356140325895552</v>
      </c>
      <c r="AD129" s="40">
        <f t="shared" si="62"/>
        <v>0.10356140325895552</v>
      </c>
      <c r="AE129" s="39">
        <f t="shared" si="70"/>
        <v>0.45185185185185178</v>
      </c>
      <c r="AF129" s="37">
        <f t="shared" si="63"/>
        <v>1.0176512332766836</v>
      </c>
      <c r="AG129" s="37">
        <f t="shared" si="80"/>
        <v>4.7638245499119535E-3</v>
      </c>
      <c r="AH129" s="37">
        <f t="shared" si="81"/>
        <v>0.98778770600097354</v>
      </c>
      <c r="AI129" s="40">
        <f t="shared" si="64"/>
        <v>0.99255153055088552</v>
      </c>
      <c r="AJ129" s="39">
        <f t="shared" si="65"/>
        <v>1.8074074074074078</v>
      </c>
      <c r="AK129" s="37">
        <f t="shared" si="82"/>
        <v>2.0353024665533672</v>
      </c>
      <c r="AL129" s="37">
        <f t="shared" si="83"/>
        <v>0.94346666666666668</v>
      </c>
      <c r="AM129" s="37">
        <f t="shared" si="84"/>
        <v>0.22935</v>
      </c>
      <c r="AN129" s="40">
        <f t="shared" si="66"/>
        <v>1.1728166666666666</v>
      </c>
      <c r="AO129" s="39">
        <f t="shared" si="85"/>
        <v>1.0356140325895552E-2</v>
      </c>
      <c r="AP129" s="37">
        <f t="shared" si="86"/>
        <v>0.19946250000000001</v>
      </c>
      <c r="AQ129" s="40">
        <f t="shared" si="87"/>
        <v>1.0800000000000001E-2</v>
      </c>
      <c r="AR129" s="39">
        <f t="shared" si="67"/>
        <v>2.4895482408024034</v>
      </c>
      <c r="AS129" s="37">
        <f t="shared" si="68"/>
        <v>48.800000000000004</v>
      </c>
      <c r="AT129" s="40">
        <f t="shared" si="69"/>
        <v>95.146090526837796</v>
      </c>
    </row>
    <row r="130" spans="17:46" x14ac:dyDescent="0.25">
      <c r="Q130">
        <v>123</v>
      </c>
      <c r="R130" s="39">
        <f t="shared" si="45"/>
        <v>30</v>
      </c>
      <c r="S130" s="37">
        <f t="shared" si="73"/>
        <v>1.6400000000000001</v>
      </c>
      <c r="T130" s="37">
        <f t="shared" si="47"/>
        <v>24</v>
      </c>
      <c r="U130" s="40">
        <f t="shared" si="74"/>
        <v>2.2777777777777777</v>
      </c>
      <c r="V130" s="39">
        <f t="shared" si="75"/>
        <v>2</v>
      </c>
      <c r="W130" s="37">
        <f t="shared" si="76"/>
        <v>0.19999999999999996</v>
      </c>
      <c r="X130" s="40">
        <f t="shared" si="77"/>
        <v>0.8</v>
      </c>
      <c r="Y130" s="39">
        <f t="shared" si="78"/>
        <v>0.94117647058823517</v>
      </c>
      <c r="Z130" s="37">
        <f t="shared" si="71"/>
        <v>2.7483660130718954</v>
      </c>
      <c r="AA130" s="37">
        <f t="shared" si="72"/>
        <v>2.2939244467369337</v>
      </c>
      <c r="AB130" s="37">
        <v>0</v>
      </c>
      <c r="AC130" s="37">
        <f t="shared" si="79"/>
        <v>0.10524178734674695</v>
      </c>
      <c r="AD130" s="40">
        <f t="shared" si="62"/>
        <v>0.10524178734674695</v>
      </c>
      <c r="AE130" s="39">
        <f t="shared" si="70"/>
        <v>0.45555555555555544</v>
      </c>
      <c r="AF130" s="37">
        <f t="shared" si="63"/>
        <v>1.0258741996304759</v>
      </c>
      <c r="AG130" s="37">
        <f t="shared" si="80"/>
        <v>4.8411222179503589E-3</v>
      </c>
      <c r="AH130" s="37">
        <f t="shared" si="81"/>
        <v>0.99588432654196501</v>
      </c>
      <c r="AI130" s="40">
        <f t="shared" si="64"/>
        <v>1.0007254487599153</v>
      </c>
      <c r="AJ130" s="39">
        <f t="shared" si="65"/>
        <v>1.8222222222222222</v>
      </c>
      <c r="AK130" s="37">
        <f t="shared" si="82"/>
        <v>2.0517483992609522</v>
      </c>
      <c r="AL130" s="37">
        <f t="shared" si="83"/>
        <v>0.95120000000000005</v>
      </c>
      <c r="AM130" s="37">
        <f t="shared" si="84"/>
        <v>0.22935</v>
      </c>
      <c r="AN130" s="40">
        <f t="shared" si="66"/>
        <v>1.18055</v>
      </c>
      <c r="AO130" s="39">
        <f t="shared" si="85"/>
        <v>1.0524178734674695E-2</v>
      </c>
      <c r="AP130" s="37">
        <f t="shared" si="86"/>
        <v>0.19946250000000001</v>
      </c>
      <c r="AQ130" s="40">
        <f t="shared" si="87"/>
        <v>1.0800000000000001E-2</v>
      </c>
      <c r="AR130" s="39">
        <f t="shared" si="67"/>
        <v>2.5073039148413372</v>
      </c>
      <c r="AS130" s="37">
        <f t="shared" si="68"/>
        <v>49.2</v>
      </c>
      <c r="AT130" s="40">
        <f t="shared" si="69"/>
        <v>95.150967609971104</v>
      </c>
    </row>
    <row r="131" spans="17:46" x14ac:dyDescent="0.25">
      <c r="Q131">
        <v>124</v>
      </c>
      <c r="R131" s="39">
        <f t="shared" si="45"/>
        <v>30</v>
      </c>
      <c r="S131" s="37">
        <f t="shared" si="73"/>
        <v>1.6533333333333335</v>
      </c>
      <c r="T131" s="37">
        <f t="shared" si="47"/>
        <v>24</v>
      </c>
      <c r="U131" s="40">
        <f t="shared" si="74"/>
        <v>2.2962962962962967</v>
      </c>
      <c r="V131" s="39">
        <f t="shared" si="75"/>
        <v>2</v>
      </c>
      <c r="W131" s="37">
        <f t="shared" si="76"/>
        <v>0.19999999999999996</v>
      </c>
      <c r="X131" s="40">
        <f t="shared" si="77"/>
        <v>0.8</v>
      </c>
      <c r="Y131" s="39">
        <f t="shared" si="78"/>
        <v>0.94117647058823517</v>
      </c>
      <c r="Z131" s="37">
        <f t="shared" si="71"/>
        <v>2.7668845315904145</v>
      </c>
      <c r="AA131" s="37">
        <f t="shared" si="72"/>
        <v>2.3123136557965416</v>
      </c>
      <c r="AB131" s="37">
        <v>0</v>
      </c>
      <c r="AC131" s="37">
        <f t="shared" si="79"/>
        <v>0.10693588885566334</v>
      </c>
      <c r="AD131" s="40">
        <f t="shared" si="62"/>
        <v>0.10693588885566334</v>
      </c>
      <c r="AE131" s="39">
        <f t="shared" si="70"/>
        <v>0.45925925925925926</v>
      </c>
      <c r="AF131" s="37">
        <f t="shared" si="63"/>
        <v>1.0340981039324235</v>
      </c>
      <c r="AG131" s="37">
        <f t="shared" si="80"/>
        <v>4.9190508873605135E-3</v>
      </c>
      <c r="AH131" s="37">
        <f t="shared" si="81"/>
        <v>1.0039809470829568</v>
      </c>
      <c r="AI131" s="40">
        <f t="shared" si="64"/>
        <v>1.0088999979703173</v>
      </c>
      <c r="AJ131" s="39">
        <f t="shared" si="65"/>
        <v>1.8370370370370375</v>
      </c>
      <c r="AK131" s="37">
        <f t="shared" si="82"/>
        <v>2.0681962078648475</v>
      </c>
      <c r="AL131" s="37">
        <f t="shared" si="83"/>
        <v>0.95893333333333342</v>
      </c>
      <c r="AM131" s="37">
        <f t="shared" si="84"/>
        <v>0.22935</v>
      </c>
      <c r="AN131" s="40">
        <f t="shared" si="66"/>
        <v>1.1882833333333334</v>
      </c>
      <c r="AO131" s="39">
        <f t="shared" si="85"/>
        <v>1.0693588885566334E-2</v>
      </c>
      <c r="AP131" s="37">
        <f t="shared" si="86"/>
        <v>0.19946250000000001</v>
      </c>
      <c r="AQ131" s="40">
        <f t="shared" si="87"/>
        <v>1.0800000000000001E-2</v>
      </c>
      <c r="AR131" s="39">
        <f t="shared" si="67"/>
        <v>2.5250753090448805</v>
      </c>
      <c r="AS131" s="37">
        <f t="shared" si="68"/>
        <v>49.600000000000009</v>
      </c>
      <c r="AT131" s="40">
        <f t="shared" si="69"/>
        <v>95.155737820858903</v>
      </c>
    </row>
    <row r="132" spans="17:46" x14ac:dyDescent="0.25">
      <c r="Q132">
        <v>125</v>
      </c>
      <c r="R132" s="39">
        <f t="shared" si="45"/>
        <v>30</v>
      </c>
      <c r="S132" s="37">
        <f t="shared" si="73"/>
        <v>1.6666666666666667</v>
      </c>
      <c r="T132" s="37">
        <f t="shared" si="47"/>
        <v>24</v>
      </c>
      <c r="U132" s="40">
        <f t="shared" si="74"/>
        <v>2.3148148148148149</v>
      </c>
      <c r="V132" s="39">
        <f t="shared" si="75"/>
        <v>2</v>
      </c>
      <c r="W132" s="37">
        <f t="shared" si="76"/>
        <v>0.19999999999999996</v>
      </c>
      <c r="X132" s="40">
        <f t="shared" si="77"/>
        <v>0.8</v>
      </c>
      <c r="Y132" s="39">
        <f t="shared" si="78"/>
        <v>0.94117647058823517</v>
      </c>
      <c r="Z132" s="37">
        <f t="shared" si="71"/>
        <v>2.7854030501089326</v>
      </c>
      <c r="AA132" s="37">
        <f t="shared" si="72"/>
        <v>2.3307049125286587</v>
      </c>
      <c r="AB132" s="37">
        <v>0</v>
      </c>
      <c r="AC132" s="37">
        <f t="shared" si="79"/>
        <v>0.10864370778570447</v>
      </c>
      <c r="AD132" s="40">
        <f t="shared" si="62"/>
        <v>0.10864370778570447</v>
      </c>
      <c r="AE132" s="39">
        <f t="shared" si="70"/>
        <v>0.46296296296296285</v>
      </c>
      <c r="AF132" s="37">
        <f t="shared" si="63"/>
        <v>1.0423229239813565</v>
      </c>
      <c r="AG132" s="37">
        <f t="shared" si="80"/>
        <v>4.9976105581424051E-3</v>
      </c>
      <c r="AH132" s="37">
        <f t="shared" si="81"/>
        <v>1.0120775676239482</v>
      </c>
      <c r="AI132" s="40">
        <f t="shared" si="64"/>
        <v>1.0170751781820906</v>
      </c>
      <c r="AJ132" s="39">
        <f t="shared" si="65"/>
        <v>1.8518518518518521</v>
      </c>
      <c r="AK132" s="37">
        <f t="shared" si="82"/>
        <v>2.0846458479627135</v>
      </c>
      <c r="AL132" s="37">
        <f t="shared" si="83"/>
        <v>0.96666666666666667</v>
      </c>
      <c r="AM132" s="37">
        <f t="shared" si="84"/>
        <v>0.22935</v>
      </c>
      <c r="AN132" s="40">
        <f t="shared" si="66"/>
        <v>1.1960166666666667</v>
      </c>
      <c r="AO132" s="39">
        <f t="shared" si="85"/>
        <v>1.0864370778570448E-2</v>
      </c>
      <c r="AP132" s="37">
        <f t="shared" si="86"/>
        <v>0.19946250000000001</v>
      </c>
      <c r="AQ132" s="40">
        <f t="shared" si="87"/>
        <v>1.0800000000000001E-2</v>
      </c>
      <c r="AR132" s="39">
        <f t="shared" si="67"/>
        <v>2.5428624234130326</v>
      </c>
      <c r="AS132" s="37">
        <f t="shared" si="68"/>
        <v>50</v>
      </c>
      <c r="AT132" s="40">
        <f t="shared" si="69"/>
        <v>95.160403704462169</v>
      </c>
    </row>
    <row r="133" spans="17:46" x14ac:dyDescent="0.25">
      <c r="Q133">
        <v>126</v>
      </c>
      <c r="R133" s="39">
        <f t="shared" si="45"/>
        <v>30</v>
      </c>
      <c r="S133" s="37">
        <f t="shared" si="73"/>
        <v>1.6800000000000002</v>
      </c>
      <c r="T133" s="37">
        <f t="shared" si="47"/>
        <v>24</v>
      </c>
      <c r="U133" s="40">
        <f t="shared" si="74"/>
        <v>2.3333333333333335</v>
      </c>
      <c r="V133" s="39">
        <f t="shared" si="75"/>
        <v>2</v>
      </c>
      <c r="W133" s="37">
        <f t="shared" si="76"/>
        <v>0.19999999999999996</v>
      </c>
      <c r="X133" s="40">
        <f t="shared" si="77"/>
        <v>0.8</v>
      </c>
      <c r="Y133" s="39">
        <f t="shared" si="78"/>
        <v>0.94117647058823517</v>
      </c>
      <c r="Z133" s="37">
        <f t="shared" si="71"/>
        <v>2.8039215686274512</v>
      </c>
      <c r="AA133" s="37">
        <f t="shared" si="72"/>
        <v>2.3490981688391659</v>
      </c>
      <c r="AB133" s="37">
        <v>0</v>
      </c>
      <c r="AC133" s="37">
        <f t="shared" si="79"/>
        <v>0.11036524413687046</v>
      </c>
      <c r="AD133" s="40">
        <f t="shared" si="62"/>
        <v>0.11036524413687046</v>
      </c>
      <c r="AE133" s="39">
        <f t="shared" si="70"/>
        <v>0.46666666666666662</v>
      </c>
      <c r="AF133" s="37">
        <f t="shared" si="63"/>
        <v>1.0505486382689306</v>
      </c>
      <c r="AG133" s="37">
        <f t="shared" si="80"/>
        <v>5.0768012302960406E-3</v>
      </c>
      <c r="AH133" s="37">
        <f t="shared" si="81"/>
        <v>1.0201741881649398</v>
      </c>
      <c r="AI133" s="40">
        <f t="shared" si="64"/>
        <v>1.0252509893952357</v>
      </c>
      <c r="AJ133" s="39">
        <f t="shared" si="65"/>
        <v>1.8666666666666669</v>
      </c>
      <c r="AK133" s="37">
        <f t="shared" si="82"/>
        <v>2.1010972765378613</v>
      </c>
      <c r="AL133" s="37">
        <f t="shared" si="83"/>
        <v>0.97440000000000004</v>
      </c>
      <c r="AM133" s="37">
        <f t="shared" si="84"/>
        <v>0.22935</v>
      </c>
      <c r="AN133" s="40">
        <f t="shared" si="66"/>
        <v>1.2037500000000001</v>
      </c>
      <c r="AO133" s="39">
        <f t="shared" si="85"/>
        <v>1.1036524413687045E-2</v>
      </c>
      <c r="AP133" s="37">
        <f t="shared" si="86"/>
        <v>0.19946250000000001</v>
      </c>
      <c r="AQ133" s="40">
        <f t="shared" si="87"/>
        <v>1.0800000000000001E-2</v>
      </c>
      <c r="AR133" s="39">
        <f t="shared" si="67"/>
        <v>2.5606652579457934</v>
      </c>
      <c r="AS133" s="37">
        <f t="shared" si="68"/>
        <v>50.400000000000006</v>
      </c>
      <c r="AT133" s="40">
        <f t="shared" si="69"/>
        <v>95.164967725624237</v>
      </c>
    </row>
    <row r="134" spans="17:46" x14ac:dyDescent="0.25">
      <c r="Q134">
        <v>127</v>
      </c>
      <c r="R134" s="39">
        <f t="shared" si="45"/>
        <v>30</v>
      </c>
      <c r="S134" s="37">
        <f t="shared" si="73"/>
        <v>1.6933333333333334</v>
      </c>
      <c r="T134" s="37">
        <f t="shared" si="47"/>
        <v>24</v>
      </c>
      <c r="U134" s="40">
        <f t="shared" si="74"/>
        <v>2.3518518518518516</v>
      </c>
      <c r="V134" s="39">
        <f t="shared" si="75"/>
        <v>2</v>
      </c>
      <c r="W134" s="37">
        <f t="shared" si="76"/>
        <v>0.19999999999999996</v>
      </c>
      <c r="X134" s="40">
        <f t="shared" si="77"/>
        <v>0.8</v>
      </c>
      <c r="Y134" s="39">
        <f t="shared" si="78"/>
        <v>0.94117647058823517</v>
      </c>
      <c r="Z134" s="37">
        <f t="shared" si="71"/>
        <v>2.8224400871459694</v>
      </c>
      <c r="AA134" s="37">
        <f t="shared" si="72"/>
        <v>2.3674933781233816</v>
      </c>
      <c r="AB134" s="37">
        <v>0</v>
      </c>
      <c r="AC134" s="37">
        <f t="shared" si="79"/>
        <v>0.11210049790916121</v>
      </c>
      <c r="AD134" s="40">
        <f t="shared" si="62"/>
        <v>0.11210049790916121</v>
      </c>
      <c r="AE134" s="39">
        <f t="shared" si="70"/>
        <v>0.47037037037037022</v>
      </c>
      <c r="AF134" s="37">
        <f t="shared" si="63"/>
        <v>1.0587752259528989</v>
      </c>
      <c r="AG134" s="37">
        <f t="shared" si="80"/>
        <v>5.1566229038214157E-3</v>
      </c>
      <c r="AH134" s="37">
        <f t="shared" si="81"/>
        <v>1.0282708087059311</v>
      </c>
      <c r="AI134" s="40">
        <f t="shared" si="64"/>
        <v>1.0334274316097525</v>
      </c>
      <c r="AJ134" s="39">
        <f t="shared" si="65"/>
        <v>1.8814814814814813</v>
      </c>
      <c r="AK134" s="37">
        <f t="shared" si="82"/>
        <v>2.1175504519057982</v>
      </c>
      <c r="AL134" s="37">
        <f t="shared" si="83"/>
        <v>0.9821333333333333</v>
      </c>
      <c r="AM134" s="37">
        <f t="shared" si="84"/>
        <v>0.22935</v>
      </c>
      <c r="AN134" s="40">
        <f t="shared" si="66"/>
        <v>1.2114833333333332</v>
      </c>
      <c r="AO134" s="39">
        <f t="shared" si="85"/>
        <v>1.1210049790916122E-2</v>
      </c>
      <c r="AP134" s="37">
        <f t="shared" si="86"/>
        <v>0.19946250000000001</v>
      </c>
      <c r="AQ134" s="40">
        <f t="shared" si="87"/>
        <v>1.0800000000000001E-2</v>
      </c>
      <c r="AR134" s="39">
        <f t="shared" si="67"/>
        <v>2.5784838126431637</v>
      </c>
      <c r="AS134" s="37">
        <f t="shared" si="68"/>
        <v>50.8</v>
      </c>
      <c r="AT134" s="40">
        <f t="shared" si="69"/>
        <v>95.169432272198733</v>
      </c>
    </row>
    <row r="135" spans="17:46" x14ac:dyDescent="0.25">
      <c r="Q135">
        <v>128</v>
      </c>
      <c r="R135" s="39">
        <f t="shared" ref="R135:R157" si="88">VOUT</f>
        <v>30</v>
      </c>
      <c r="S135" s="37">
        <f t="shared" ref="S135:S157" si="89">Q135*$O$12</f>
        <v>1.7066666666666668</v>
      </c>
      <c r="T135" s="37">
        <f t="shared" ref="T135:T157" si="90">VIN_var</f>
        <v>24</v>
      </c>
      <c r="U135" s="40">
        <f t="shared" ref="U135:U157" si="91">(R135*S135)/(T135*EFF_est)</f>
        <v>2.3703703703703702</v>
      </c>
      <c r="V135" s="39">
        <f t="shared" ref="V135:V157" si="92">IF((S135*R135/T135)&lt;((T135*(1-(T135/R135)))/(2*Lm*Fsw)),1,2)</f>
        <v>2</v>
      </c>
      <c r="W135" s="37">
        <f t="shared" ref="W135:W157" si="93">CHOOSE(V135,SQRT((2*S135*Lm*Fsw*(R135-T135))/((T135)^2)),1-(T135/R135))</f>
        <v>0.19999999999999996</v>
      </c>
      <c r="X135" s="40">
        <f t="shared" ref="X135:X157" si="94">CHOOSE(V135,(Lm*W135*Fsw)/(R135-T135),1-W135)</f>
        <v>0.8</v>
      </c>
      <c r="Y135" s="39">
        <f t="shared" ref="Y135:Y157" si="95">(T135*W135)/(Lm*Fsw)</f>
        <v>0.94117647058823517</v>
      </c>
      <c r="Z135" s="37">
        <f t="shared" si="71"/>
        <v>2.840958605664488</v>
      </c>
      <c r="AA135" s="37">
        <f t="shared" si="72"/>
        <v>2.3858904952090412</v>
      </c>
      <c r="AB135" s="37">
        <v>0</v>
      </c>
      <c r="AC135" s="37">
        <f t="shared" ref="AC135:AC157" si="96">(AA135^2)*Rdcr</f>
        <v>0.11384946910257687</v>
      </c>
      <c r="AD135" s="40">
        <f t="shared" si="62"/>
        <v>0.11384946910257687</v>
      </c>
      <c r="AE135" s="39">
        <f t="shared" si="70"/>
        <v>0.47407407407407393</v>
      </c>
      <c r="AF135" s="37">
        <f t="shared" si="63"/>
        <v>1.0670026668316104</v>
      </c>
      <c r="AG135" s="37">
        <f t="shared" ref="AG135:AG157" si="97">(AF135^2)*RDS_on</f>
        <v>5.2370755787185348E-3</v>
      </c>
      <c r="AH135" s="37">
        <f t="shared" ref="AH135:AH157" si="98">((R135*U135)/2)*Fsw*(tr_sw+tf_sw)</f>
        <v>1.0363674292469229</v>
      </c>
      <c r="AI135" s="40">
        <f t="shared" si="64"/>
        <v>1.0416045048256415</v>
      </c>
      <c r="AJ135" s="39">
        <f t="shared" si="65"/>
        <v>1.8962962962962964</v>
      </c>
      <c r="AK135" s="37">
        <f t="shared" ref="AK135:AK157" si="99">CHOOSE(V135,Z135*SQRT(X135/3),SQRT(X135*((Z135^2)+((Y135^2)/3)-(Y135*Z135))))</f>
        <v>2.1340053336632212</v>
      </c>
      <c r="AL135" s="37">
        <f t="shared" ref="AL135:AL157" si="100">S135*Vd_rect</f>
        <v>0.98986666666666667</v>
      </c>
      <c r="AM135" s="37">
        <f t="shared" ref="AM135:AM157" si="101">CHOOSE(V135,(R135+Vd_rect)*Qrr*Fsw,(R135+Vd_rect)*Qrr*Fsw)</f>
        <v>0.22935</v>
      </c>
      <c r="AN135" s="40">
        <f t="shared" si="66"/>
        <v>1.2192166666666666</v>
      </c>
      <c r="AO135" s="39">
        <f t="shared" ref="AO135:AO157" si="102">(AF135^2)*R_cs</f>
        <v>1.1384946910257685E-2</v>
      </c>
      <c r="AP135" s="37">
        <f t="shared" ref="AP135:AP157" si="103">Qg_tot*Vcc*Fsw</f>
        <v>0.19946250000000001</v>
      </c>
      <c r="AQ135" s="40">
        <f t="shared" ref="AQ135:AQ157" si="104">IQ*T135</f>
        <v>1.0800000000000001E-2</v>
      </c>
      <c r="AR135" s="39">
        <f t="shared" si="67"/>
        <v>2.5963180875051428</v>
      </c>
      <c r="AS135" s="37">
        <f t="shared" si="68"/>
        <v>51.2</v>
      </c>
      <c r="AT135" s="40">
        <f t="shared" si="69"/>
        <v>95.173799658032422</v>
      </c>
    </row>
    <row r="136" spans="17:46" x14ac:dyDescent="0.25">
      <c r="Q136">
        <v>129</v>
      </c>
      <c r="R136" s="39">
        <f t="shared" si="88"/>
        <v>30</v>
      </c>
      <c r="S136" s="37">
        <f t="shared" si="89"/>
        <v>1.7200000000000002</v>
      </c>
      <c r="T136" s="37">
        <f t="shared" si="90"/>
        <v>24</v>
      </c>
      <c r="U136" s="40">
        <f t="shared" si="91"/>
        <v>2.3888888888888893</v>
      </c>
      <c r="V136" s="39">
        <f t="shared" si="92"/>
        <v>2</v>
      </c>
      <c r="W136" s="37">
        <f t="shared" si="93"/>
        <v>0.19999999999999996</v>
      </c>
      <c r="X136" s="40">
        <f t="shared" si="94"/>
        <v>0.8</v>
      </c>
      <c r="Y136" s="39">
        <f t="shared" si="95"/>
        <v>0.94117647058823517</v>
      </c>
      <c r="Z136" s="37">
        <f t="shared" si="71"/>
        <v>2.859477124183007</v>
      </c>
      <c r="AA136" s="37">
        <f t="shared" si="72"/>
        <v>2.4042894763018596</v>
      </c>
      <c r="AB136" s="37">
        <v>0</v>
      </c>
      <c r="AC136" s="37">
        <f t="shared" si="96"/>
        <v>0.11561215771711741</v>
      </c>
      <c r="AD136" s="40">
        <f t="shared" ref="AD136:AD157" si="105">AB136+AC136</f>
        <v>0.11561215771711741</v>
      </c>
      <c r="AE136" s="39">
        <f t="shared" si="70"/>
        <v>0.47777777777777775</v>
      </c>
      <c r="AF136" s="37">
        <f t="shared" ref="AF136:AF157" si="106">CHOOSE(V136,Z136*SQRT(W136/3),SQRT(W136*((Z136^2)+((Y136^2)/3)-(Z136*Y136))))</f>
        <v>1.0752309413196655</v>
      </c>
      <c r="AG136" s="37">
        <f t="shared" si="97"/>
        <v>5.3181592549874004E-3</v>
      </c>
      <c r="AH136" s="37">
        <f t="shared" si="98"/>
        <v>1.0444640497879147</v>
      </c>
      <c r="AI136" s="40">
        <f t="shared" ref="AI136:AI157" si="107">AG136+AH136</f>
        <v>1.0497822090429021</v>
      </c>
      <c r="AJ136" s="39">
        <f t="shared" ref="AJ136:AJ156" si="108">X136*U136</f>
        <v>1.9111111111111114</v>
      </c>
      <c r="AK136" s="37">
        <f t="shared" si="99"/>
        <v>2.1504618826393314</v>
      </c>
      <c r="AL136" s="37">
        <f t="shared" si="100"/>
        <v>0.99760000000000004</v>
      </c>
      <c r="AM136" s="37">
        <f t="shared" si="101"/>
        <v>0.22935</v>
      </c>
      <c r="AN136" s="40">
        <f t="shared" ref="AN136:AN157" si="109">AL136+AM136</f>
        <v>1.22695</v>
      </c>
      <c r="AO136" s="39">
        <f t="shared" si="102"/>
        <v>1.1561215771711739E-2</v>
      </c>
      <c r="AP136" s="37">
        <f t="shared" si="103"/>
        <v>0.19946250000000001</v>
      </c>
      <c r="AQ136" s="40">
        <f t="shared" si="104"/>
        <v>1.0800000000000001E-2</v>
      </c>
      <c r="AR136" s="39">
        <f t="shared" ref="AR136:AR157" si="110">AO136+AN136+AI136+AD136+AP136+AQ136</f>
        <v>2.6141680825317315</v>
      </c>
      <c r="AS136" s="37">
        <f t="shared" ref="AS136:AS157" si="111">R136*S136</f>
        <v>51.600000000000009</v>
      </c>
      <c r="AT136" s="40">
        <f t="shared" ref="AT136:AT156" si="112">(AS136/(AS136+AR136))*100</f>
        <v>95.178072125810161</v>
      </c>
    </row>
    <row r="137" spans="17:46" x14ac:dyDescent="0.25">
      <c r="Q137">
        <v>130</v>
      </c>
      <c r="R137" s="39">
        <f t="shared" si="88"/>
        <v>30</v>
      </c>
      <c r="S137" s="37">
        <f t="shared" si="89"/>
        <v>1.7333333333333334</v>
      </c>
      <c r="T137" s="37">
        <f t="shared" si="90"/>
        <v>24</v>
      </c>
      <c r="U137" s="40">
        <f t="shared" si="91"/>
        <v>2.4074074074074074</v>
      </c>
      <c r="V137" s="39">
        <f t="shared" si="92"/>
        <v>2</v>
      </c>
      <c r="W137" s="37">
        <f t="shared" si="93"/>
        <v>0.19999999999999996</v>
      </c>
      <c r="X137" s="40">
        <f t="shared" si="94"/>
        <v>0.8</v>
      </c>
      <c r="Y137" s="39">
        <f t="shared" si="95"/>
        <v>0.94117647058823517</v>
      </c>
      <c r="Z137" s="37">
        <f t="shared" si="71"/>
        <v>2.8779956427015252</v>
      </c>
      <c r="AA137" s="37">
        <f t="shared" si="72"/>
        <v>2.422690278933552</v>
      </c>
      <c r="AB137" s="37">
        <v>0</v>
      </c>
      <c r="AC137" s="37">
        <f t="shared" si="96"/>
        <v>0.11738856375278264</v>
      </c>
      <c r="AD137" s="40">
        <f t="shared" si="105"/>
        <v>0.11738856375278264</v>
      </c>
      <c r="AE137" s="39">
        <f t="shared" ref="AE137:AE157" si="113">U137*W137</f>
        <v>0.4814814814814814</v>
      </c>
      <c r="AF137" s="37">
        <f t="shared" si="106"/>
        <v>1.0834600304246698</v>
      </c>
      <c r="AG137" s="37">
        <f t="shared" si="97"/>
        <v>5.3998739326280012E-3</v>
      </c>
      <c r="AH137" s="37">
        <f t="shared" si="98"/>
        <v>1.0525606703289063</v>
      </c>
      <c r="AI137" s="40">
        <f t="shared" si="107"/>
        <v>1.0579605442615343</v>
      </c>
      <c r="AJ137" s="39">
        <f t="shared" si="108"/>
        <v>1.925925925925926</v>
      </c>
      <c r="AK137" s="37">
        <f t="shared" si="99"/>
        <v>2.16692006084934</v>
      </c>
      <c r="AL137" s="37">
        <f t="shared" si="100"/>
        <v>1.0053333333333332</v>
      </c>
      <c r="AM137" s="37">
        <f t="shared" si="101"/>
        <v>0.22935</v>
      </c>
      <c r="AN137" s="40">
        <f t="shared" si="109"/>
        <v>1.2346833333333331</v>
      </c>
      <c r="AO137" s="39">
        <f t="shared" si="102"/>
        <v>1.1738856375278264E-2</v>
      </c>
      <c r="AP137" s="37">
        <f t="shared" si="103"/>
        <v>0.19946250000000001</v>
      </c>
      <c r="AQ137" s="40">
        <f t="shared" si="104"/>
        <v>1.0800000000000001E-2</v>
      </c>
      <c r="AR137" s="39">
        <f t="shared" si="110"/>
        <v>2.6320337977229284</v>
      </c>
      <c r="AS137" s="37">
        <f t="shared" si="111"/>
        <v>52</v>
      </c>
      <c r="AT137" s="40">
        <f t="shared" si="112"/>
        <v>95.182251849769813</v>
      </c>
    </row>
    <row r="138" spans="17:46" x14ac:dyDescent="0.25">
      <c r="Q138">
        <v>131</v>
      </c>
      <c r="R138" s="39">
        <f t="shared" si="88"/>
        <v>30</v>
      </c>
      <c r="S138" s="37">
        <f t="shared" si="89"/>
        <v>1.7466666666666668</v>
      </c>
      <c r="T138" s="37">
        <f t="shared" si="90"/>
        <v>24</v>
      </c>
      <c r="U138" s="40">
        <f t="shared" si="91"/>
        <v>2.425925925925926</v>
      </c>
      <c r="V138" s="39">
        <f t="shared" si="92"/>
        <v>2</v>
      </c>
      <c r="W138" s="37">
        <f t="shared" si="93"/>
        <v>0.19999999999999996</v>
      </c>
      <c r="X138" s="40">
        <f t="shared" si="94"/>
        <v>0.8</v>
      </c>
      <c r="Y138" s="39">
        <f t="shared" si="95"/>
        <v>0.94117647058823517</v>
      </c>
      <c r="Z138" s="37">
        <f t="shared" si="71"/>
        <v>2.8965141612200438</v>
      </c>
      <c r="AA138" s="37">
        <f t="shared" si="72"/>
        <v>2.4410928619121885</v>
      </c>
      <c r="AB138" s="37">
        <v>0</v>
      </c>
      <c r="AC138" s="37">
        <f t="shared" si="96"/>
        <v>0.11917868720957278</v>
      </c>
      <c r="AD138" s="40">
        <f t="shared" si="105"/>
        <v>0.11917868720957278</v>
      </c>
      <c r="AE138" s="39">
        <f t="shared" si="113"/>
        <v>0.48518518518518511</v>
      </c>
      <c r="AF138" s="37">
        <f t="shared" si="106"/>
        <v>1.0916899157250322</v>
      </c>
      <c r="AG138" s="37">
        <f t="shared" si="97"/>
        <v>5.4822196116403477E-3</v>
      </c>
      <c r="AH138" s="37">
        <f t="shared" si="98"/>
        <v>1.0606572908698977</v>
      </c>
      <c r="AI138" s="40">
        <f t="shared" si="107"/>
        <v>1.0661395104815381</v>
      </c>
      <c r="AJ138" s="39">
        <f t="shared" si="108"/>
        <v>1.9407407407407409</v>
      </c>
      <c r="AK138" s="37">
        <f t="shared" si="99"/>
        <v>2.1833798314500648</v>
      </c>
      <c r="AL138" s="37">
        <f t="shared" si="100"/>
        <v>1.0130666666666668</v>
      </c>
      <c r="AM138" s="37">
        <f t="shared" si="101"/>
        <v>0.22935</v>
      </c>
      <c r="AN138" s="40">
        <f t="shared" si="109"/>
        <v>1.2424166666666667</v>
      </c>
      <c r="AO138" s="39">
        <f t="shared" si="102"/>
        <v>1.1917868720957278E-2</v>
      </c>
      <c r="AP138" s="37">
        <f t="shared" si="103"/>
        <v>0.19946250000000001</v>
      </c>
      <c r="AQ138" s="40">
        <f t="shared" si="104"/>
        <v>1.0800000000000001E-2</v>
      </c>
      <c r="AR138" s="39">
        <f t="shared" si="110"/>
        <v>2.649915233078735</v>
      </c>
      <c r="AS138" s="37">
        <f t="shared" si="111"/>
        <v>52.400000000000006</v>
      </c>
      <c r="AT138" s="40">
        <f t="shared" si="112"/>
        <v>95.186340938293696</v>
      </c>
    </row>
    <row r="139" spans="17:46" x14ac:dyDescent="0.25">
      <c r="Q139">
        <v>132</v>
      </c>
      <c r="R139" s="39">
        <f t="shared" si="88"/>
        <v>30</v>
      </c>
      <c r="S139" s="37">
        <f t="shared" si="89"/>
        <v>1.76</v>
      </c>
      <c r="T139" s="37">
        <f t="shared" si="90"/>
        <v>24</v>
      </c>
      <c r="U139" s="40">
        <f t="shared" si="91"/>
        <v>2.4444444444444442</v>
      </c>
      <c r="V139" s="39">
        <f t="shared" si="92"/>
        <v>2</v>
      </c>
      <c r="W139" s="37">
        <f t="shared" si="93"/>
        <v>0.19999999999999996</v>
      </c>
      <c r="X139" s="40">
        <f t="shared" si="94"/>
        <v>0.8</v>
      </c>
      <c r="Y139" s="39">
        <f t="shared" si="95"/>
        <v>0.94117647058823517</v>
      </c>
      <c r="Z139" s="37">
        <f t="shared" si="71"/>
        <v>2.9150326797385619</v>
      </c>
      <c r="AA139" s="37">
        <f t="shared" si="72"/>
        <v>2.4594971852747434</v>
      </c>
      <c r="AB139" s="37">
        <v>0</v>
      </c>
      <c r="AC139" s="37">
        <f t="shared" si="96"/>
        <v>0.1209825280874877</v>
      </c>
      <c r="AD139" s="40">
        <f t="shared" si="105"/>
        <v>0.1209825280874877</v>
      </c>
      <c r="AE139" s="39">
        <f t="shared" si="113"/>
        <v>0.48888888888888871</v>
      </c>
      <c r="AF139" s="37">
        <f t="shared" si="106"/>
        <v>1.0999205793487441</v>
      </c>
      <c r="AG139" s="37">
        <f t="shared" si="97"/>
        <v>5.565196292024433E-3</v>
      </c>
      <c r="AH139" s="37">
        <f t="shared" si="98"/>
        <v>1.0687539114108893</v>
      </c>
      <c r="AI139" s="40">
        <f t="shared" si="107"/>
        <v>1.0743191077029137</v>
      </c>
      <c r="AJ139" s="39">
        <f t="shared" si="108"/>
        <v>1.9555555555555555</v>
      </c>
      <c r="AK139" s="37">
        <f t="shared" si="99"/>
        <v>2.1998411586974882</v>
      </c>
      <c r="AL139" s="37">
        <f t="shared" si="100"/>
        <v>1.0207999999999999</v>
      </c>
      <c r="AM139" s="37">
        <f t="shared" si="101"/>
        <v>0.22935</v>
      </c>
      <c r="AN139" s="40">
        <f t="shared" si="109"/>
        <v>1.2501499999999999</v>
      </c>
      <c r="AO139" s="39">
        <f t="shared" si="102"/>
        <v>1.2098252808748768E-2</v>
      </c>
      <c r="AP139" s="37">
        <f t="shared" si="103"/>
        <v>0.19946250000000001</v>
      </c>
      <c r="AQ139" s="40">
        <f t="shared" si="104"/>
        <v>1.0800000000000001E-2</v>
      </c>
      <c r="AR139" s="39">
        <f t="shared" si="110"/>
        <v>2.6678123885991503</v>
      </c>
      <c r="AS139" s="37">
        <f t="shared" si="111"/>
        <v>52.8</v>
      </c>
      <c r="AT139" s="40">
        <f t="shared" si="112"/>
        <v>95.190341436383207</v>
      </c>
    </row>
    <row r="140" spans="17:46" x14ac:dyDescent="0.25">
      <c r="Q140">
        <v>133</v>
      </c>
      <c r="R140" s="39">
        <f t="shared" si="88"/>
        <v>30</v>
      </c>
      <c r="S140" s="37">
        <f t="shared" si="89"/>
        <v>1.7733333333333334</v>
      </c>
      <c r="T140" s="37">
        <f t="shared" si="90"/>
        <v>24</v>
      </c>
      <c r="U140" s="40">
        <f t="shared" si="91"/>
        <v>2.4629629629629628</v>
      </c>
      <c r="V140" s="39">
        <f t="shared" si="92"/>
        <v>2</v>
      </c>
      <c r="W140" s="37">
        <f t="shared" si="93"/>
        <v>0.19999999999999996</v>
      </c>
      <c r="X140" s="40">
        <f t="shared" si="94"/>
        <v>0.8</v>
      </c>
      <c r="Y140" s="39">
        <f t="shared" si="95"/>
        <v>0.94117647058823517</v>
      </c>
      <c r="Z140" s="37">
        <f t="shared" si="71"/>
        <v>2.9335511982570806</v>
      </c>
      <c r="AA140" s="37">
        <f t="shared" si="72"/>
        <v>2.4779032102417506</v>
      </c>
      <c r="AB140" s="37">
        <v>0</v>
      </c>
      <c r="AC140" s="37">
        <f t="shared" si="96"/>
        <v>0.12280008638652748</v>
      </c>
      <c r="AD140" s="40">
        <f t="shared" si="105"/>
        <v>0.12280008638652748</v>
      </c>
      <c r="AE140" s="39">
        <f t="shared" si="113"/>
        <v>0.49259259259259247</v>
      </c>
      <c r="AF140" s="37">
        <f t="shared" si="106"/>
        <v>1.1081520039531014</v>
      </c>
      <c r="AG140" s="37">
        <f t="shared" si="97"/>
        <v>5.648803973780263E-3</v>
      </c>
      <c r="AH140" s="37">
        <f t="shared" si="98"/>
        <v>1.0768505319518809</v>
      </c>
      <c r="AI140" s="40">
        <f t="shared" si="107"/>
        <v>1.0824993359256612</v>
      </c>
      <c r="AJ140" s="39">
        <f t="shared" si="108"/>
        <v>1.9703703703703703</v>
      </c>
      <c r="AK140" s="37">
        <f t="shared" si="99"/>
        <v>2.2163040079062033</v>
      </c>
      <c r="AL140" s="37">
        <f t="shared" si="100"/>
        <v>1.0285333333333333</v>
      </c>
      <c r="AM140" s="37">
        <f t="shared" si="101"/>
        <v>0.22935</v>
      </c>
      <c r="AN140" s="40">
        <f t="shared" si="109"/>
        <v>1.2578833333333332</v>
      </c>
      <c r="AO140" s="39">
        <f t="shared" si="102"/>
        <v>1.2280008638652747E-2</v>
      </c>
      <c r="AP140" s="37">
        <f t="shared" si="103"/>
        <v>0.19946250000000001</v>
      </c>
      <c r="AQ140" s="40">
        <f t="shared" si="104"/>
        <v>1.0800000000000001E-2</v>
      </c>
      <c r="AR140" s="39">
        <f t="shared" si="110"/>
        <v>2.6857252642841747</v>
      </c>
      <c r="AS140" s="37">
        <f t="shared" si="111"/>
        <v>53.2</v>
      </c>
      <c r="AT140" s="40">
        <f t="shared" si="112"/>
        <v>95.194255328022763</v>
      </c>
    </row>
    <row r="141" spans="17:46" x14ac:dyDescent="0.25">
      <c r="Q141">
        <v>134</v>
      </c>
      <c r="R141" s="39">
        <f t="shared" si="88"/>
        <v>30</v>
      </c>
      <c r="S141" s="37">
        <f t="shared" si="89"/>
        <v>1.7866666666666668</v>
      </c>
      <c r="T141" s="37">
        <f t="shared" si="90"/>
        <v>24</v>
      </c>
      <c r="U141" s="40">
        <f t="shared" si="91"/>
        <v>2.4814814814814818</v>
      </c>
      <c r="V141" s="39">
        <f t="shared" si="92"/>
        <v>2</v>
      </c>
      <c r="W141" s="37">
        <f t="shared" si="93"/>
        <v>0.19999999999999996</v>
      </c>
      <c r="X141" s="40">
        <f t="shared" si="94"/>
        <v>0.8</v>
      </c>
      <c r="Y141" s="39">
        <f t="shared" si="95"/>
        <v>0.94117647058823517</v>
      </c>
      <c r="Z141" s="37">
        <f t="shared" si="71"/>
        <v>2.9520697167755996</v>
      </c>
      <c r="AA141" s="37">
        <f t="shared" si="72"/>
        <v>2.4963108991739404</v>
      </c>
      <c r="AB141" s="37">
        <v>0</v>
      </c>
      <c r="AC141" s="37">
        <f t="shared" si="96"/>
        <v>0.12463136210669214</v>
      </c>
      <c r="AD141" s="40">
        <f t="shared" si="105"/>
        <v>0.12463136210669214</v>
      </c>
      <c r="AE141" s="39">
        <f t="shared" si="113"/>
        <v>0.49629629629629624</v>
      </c>
      <c r="AF141" s="37">
        <f t="shared" si="106"/>
        <v>1.116384172705311</v>
      </c>
      <c r="AG141" s="37">
        <f t="shared" si="97"/>
        <v>5.7330426569078396E-3</v>
      </c>
      <c r="AH141" s="37">
        <f t="shared" si="98"/>
        <v>1.0849471524928727</v>
      </c>
      <c r="AI141" s="40">
        <f t="shared" si="107"/>
        <v>1.0906801951497804</v>
      </c>
      <c r="AJ141" s="39">
        <f t="shared" si="108"/>
        <v>1.9851851851851856</v>
      </c>
      <c r="AK141" s="37">
        <f t="shared" si="99"/>
        <v>2.2327683454106224</v>
      </c>
      <c r="AL141" s="37">
        <f t="shared" si="100"/>
        <v>1.0362666666666667</v>
      </c>
      <c r="AM141" s="37">
        <f t="shared" si="101"/>
        <v>0.22935</v>
      </c>
      <c r="AN141" s="40">
        <f t="shared" si="109"/>
        <v>1.2656166666666666</v>
      </c>
      <c r="AO141" s="39">
        <f t="shared" si="102"/>
        <v>1.2463136210669218E-2</v>
      </c>
      <c r="AP141" s="37">
        <f t="shared" si="103"/>
        <v>0.19946250000000001</v>
      </c>
      <c r="AQ141" s="40">
        <f t="shared" si="104"/>
        <v>1.0800000000000001E-2</v>
      </c>
      <c r="AR141" s="39">
        <f t="shared" si="110"/>
        <v>2.7036538601338087</v>
      </c>
      <c r="AS141" s="37">
        <f t="shared" si="111"/>
        <v>53.600000000000009</v>
      </c>
      <c r="AT141" s="40">
        <f t="shared" si="112"/>
        <v>95.198084538438536</v>
      </c>
    </row>
    <row r="142" spans="17:46" x14ac:dyDescent="0.25">
      <c r="Q142">
        <v>135</v>
      </c>
      <c r="R142" s="39">
        <f t="shared" si="88"/>
        <v>30</v>
      </c>
      <c r="S142" s="37">
        <f t="shared" si="89"/>
        <v>1.8</v>
      </c>
      <c r="T142" s="37">
        <f t="shared" si="90"/>
        <v>24</v>
      </c>
      <c r="U142" s="40">
        <f t="shared" si="91"/>
        <v>2.5</v>
      </c>
      <c r="V142" s="39">
        <f t="shared" si="92"/>
        <v>2</v>
      </c>
      <c r="W142" s="37">
        <f t="shared" si="93"/>
        <v>0.19999999999999996</v>
      </c>
      <c r="X142" s="40">
        <f t="shared" si="94"/>
        <v>0.8</v>
      </c>
      <c r="Y142" s="39">
        <f t="shared" si="95"/>
        <v>0.94117647058823517</v>
      </c>
      <c r="Z142" s="37">
        <f t="shared" si="71"/>
        <v>2.9705882352941178</v>
      </c>
      <c r="AA142" s="37">
        <f t="shared" si="72"/>
        <v>2.5147202155307609</v>
      </c>
      <c r="AB142" s="37">
        <v>0</v>
      </c>
      <c r="AC142" s="37">
        <f t="shared" si="96"/>
        <v>0.12647635524798154</v>
      </c>
      <c r="AD142" s="40">
        <f t="shared" si="105"/>
        <v>0.12647635524798154</v>
      </c>
      <c r="AE142" s="39">
        <f t="shared" si="113"/>
        <v>0.49999999999999989</v>
      </c>
      <c r="AF142" s="37">
        <f t="shared" si="106"/>
        <v>1.1246170692639406</v>
      </c>
      <c r="AG142" s="37">
        <f t="shared" si="97"/>
        <v>5.8179123414071479E-3</v>
      </c>
      <c r="AH142" s="37">
        <f t="shared" si="98"/>
        <v>1.093043773033864</v>
      </c>
      <c r="AI142" s="40">
        <f t="shared" si="107"/>
        <v>1.0988616853752711</v>
      </c>
      <c r="AJ142" s="39">
        <f t="shared" si="108"/>
        <v>2</v>
      </c>
      <c r="AK142" s="37">
        <f t="shared" si="99"/>
        <v>2.2492341385278816</v>
      </c>
      <c r="AL142" s="37">
        <f t="shared" si="100"/>
        <v>1.044</v>
      </c>
      <c r="AM142" s="37">
        <f t="shared" si="101"/>
        <v>0.22935</v>
      </c>
      <c r="AN142" s="40">
        <f t="shared" si="109"/>
        <v>1.27335</v>
      </c>
      <c r="AO142" s="39">
        <f t="shared" si="102"/>
        <v>1.2647635524798148E-2</v>
      </c>
      <c r="AP142" s="37">
        <f t="shared" si="103"/>
        <v>0.19946250000000001</v>
      </c>
      <c r="AQ142" s="40">
        <f t="shared" si="104"/>
        <v>1.0800000000000001E-2</v>
      </c>
      <c r="AR142" s="39">
        <f t="shared" si="110"/>
        <v>2.721598176148051</v>
      </c>
      <c r="AS142" s="37">
        <f t="shared" si="111"/>
        <v>54</v>
      </c>
      <c r="AT142" s="40">
        <f t="shared" si="112"/>
        <v>95.201830936257878</v>
      </c>
    </row>
    <row r="143" spans="17:46" x14ac:dyDescent="0.25">
      <c r="Q143">
        <v>136</v>
      </c>
      <c r="R143" s="39">
        <f t="shared" si="88"/>
        <v>30</v>
      </c>
      <c r="S143" s="37">
        <f t="shared" si="89"/>
        <v>1.8133333333333335</v>
      </c>
      <c r="T143" s="37">
        <f t="shared" si="90"/>
        <v>24</v>
      </c>
      <c r="U143" s="40">
        <f t="shared" si="91"/>
        <v>2.5185185185185186</v>
      </c>
      <c r="V143" s="39">
        <f t="shared" si="92"/>
        <v>2</v>
      </c>
      <c r="W143" s="37">
        <f t="shared" si="93"/>
        <v>0.19999999999999996</v>
      </c>
      <c r="X143" s="40">
        <f t="shared" si="94"/>
        <v>0.8</v>
      </c>
      <c r="Y143" s="39">
        <f t="shared" si="95"/>
        <v>0.94117647058823517</v>
      </c>
      <c r="Z143" s="37">
        <f t="shared" si="71"/>
        <v>2.9891067538126364</v>
      </c>
      <c r="AA143" s="37">
        <f t="shared" si="72"/>
        <v>2.5331311238307013</v>
      </c>
      <c r="AB143" s="37">
        <v>0</v>
      </c>
      <c r="AC143" s="37">
        <f t="shared" si="96"/>
        <v>0.12833506581039583</v>
      </c>
      <c r="AD143" s="40">
        <f t="shared" si="105"/>
        <v>0.12833506581039583</v>
      </c>
      <c r="AE143" s="39">
        <f t="shared" si="113"/>
        <v>0.50370370370370365</v>
      </c>
      <c r="AF143" s="37">
        <f t="shared" si="106"/>
        <v>1.1328506777611769</v>
      </c>
      <c r="AG143" s="37">
        <f t="shared" si="97"/>
        <v>5.9034130272782055E-3</v>
      </c>
      <c r="AH143" s="37">
        <f t="shared" si="98"/>
        <v>1.1011403935748556</v>
      </c>
      <c r="AI143" s="40">
        <f t="shared" si="107"/>
        <v>1.1070438066021338</v>
      </c>
      <c r="AJ143" s="39">
        <f t="shared" si="108"/>
        <v>2.0148148148148151</v>
      </c>
      <c r="AK143" s="37">
        <f t="shared" si="99"/>
        <v>2.2657013555223542</v>
      </c>
      <c r="AL143" s="37">
        <f t="shared" si="100"/>
        <v>1.0517333333333334</v>
      </c>
      <c r="AM143" s="37">
        <f t="shared" si="101"/>
        <v>0.22935</v>
      </c>
      <c r="AN143" s="40">
        <f t="shared" si="109"/>
        <v>1.2810833333333334</v>
      </c>
      <c r="AO143" s="39">
        <f t="shared" si="102"/>
        <v>1.2833506581039577E-2</v>
      </c>
      <c r="AP143" s="37">
        <f t="shared" si="103"/>
        <v>0.19946250000000001</v>
      </c>
      <c r="AQ143" s="40">
        <f t="shared" si="104"/>
        <v>1.0800000000000001E-2</v>
      </c>
      <c r="AR143" s="39">
        <f t="shared" si="110"/>
        <v>2.7395582123269024</v>
      </c>
      <c r="AS143" s="37">
        <f t="shared" si="111"/>
        <v>54.400000000000006</v>
      </c>
      <c r="AT143" s="40">
        <f t="shared" si="112"/>
        <v>95.205496335573898</v>
      </c>
    </row>
    <row r="144" spans="17:46" x14ac:dyDescent="0.25">
      <c r="Q144">
        <v>137</v>
      </c>
      <c r="R144" s="39">
        <f t="shared" si="88"/>
        <v>30</v>
      </c>
      <c r="S144" s="37">
        <f t="shared" si="89"/>
        <v>1.8266666666666669</v>
      </c>
      <c r="T144" s="37">
        <f t="shared" si="90"/>
        <v>24</v>
      </c>
      <c r="U144" s="40">
        <f t="shared" si="91"/>
        <v>2.5370370370370372</v>
      </c>
      <c r="V144" s="39">
        <f t="shared" si="92"/>
        <v>2</v>
      </c>
      <c r="W144" s="37">
        <f t="shared" si="93"/>
        <v>0.19999999999999996</v>
      </c>
      <c r="X144" s="40">
        <f t="shared" si="94"/>
        <v>0.8</v>
      </c>
      <c r="Y144" s="39">
        <f t="shared" si="95"/>
        <v>0.94117647058823517</v>
      </c>
      <c r="Z144" s="37">
        <f t="shared" ref="Z144:Z157" si="114">CHOOSE(V144,Y144,U144+(0.5*Y144))</f>
        <v>3.007625272331155</v>
      </c>
      <c r="AA144" s="37">
        <f t="shared" ref="AA144:AA157" si="115">CHOOSE(V144,Z144*SQRT((W144+X144)/3),SQRT((U144^2)+((Y144^2)/12)))</f>
        <v>2.5515435896133045</v>
      </c>
      <c r="AB144" s="37">
        <v>0</v>
      </c>
      <c r="AC144" s="37">
        <f t="shared" si="96"/>
        <v>0.13020749379393495</v>
      </c>
      <c r="AD144" s="40">
        <f t="shared" si="105"/>
        <v>0.13020749379393495</v>
      </c>
      <c r="AE144" s="39">
        <f t="shared" si="113"/>
        <v>0.50740740740740731</v>
      </c>
      <c r="AF144" s="37">
        <f t="shared" si="106"/>
        <v>1.1410849827858349</v>
      </c>
      <c r="AG144" s="37">
        <f t="shared" si="97"/>
        <v>5.9895447145210069E-3</v>
      </c>
      <c r="AH144" s="37">
        <f t="shared" si="98"/>
        <v>1.1092370141158472</v>
      </c>
      <c r="AI144" s="40">
        <f t="shared" si="107"/>
        <v>1.1152265588303683</v>
      </c>
      <c r="AJ144" s="39">
        <f t="shared" si="108"/>
        <v>2.0296296296296297</v>
      </c>
      <c r="AK144" s="37">
        <f t="shared" si="99"/>
        <v>2.2821699655716703</v>
      </c>
      <c r="AL144" s="37">
        <f t="shared" si="100"/>
        <v>1.0594666666666668</v>
      </c>
      <c r="AM144" s="37">
        <f t="shared" si="101"/>
        <v>0.22935</v>
      </c>
      <c r="AN144" s="40">
        <f t="shared" si="109"/>
        <v>1.2888166666666667</v>
      </c>
      <c r="AO144" s="39">
        <f t="shared" si="102"/>
        <v>1.3020749379393492E-2</v>
      </c>
      <c r="AP144" s="37">
        <f t="shared" si="103"/>
        <v>0.19946250000000001</v>
      </c>
      <c r="AQ144" s="40">
        <f t="shared" si="104"/>
        <v>1.0800000000000001E-2</v>
      </c>
      <c r="AR144" s="39">
        <f t="shared" si="110"/>
        <v>2.7575339686703635</v>
      </c>
      <c r="AS144" s="37">
        <f t="shared" si="111"/>
        <v>54.800000000000004</v>
      </c>
      <c r="AT144" s="40">
        <f t="shared" si="112"/>
        <v>95.209082497920534</v>
      </c>
    </row>
    <row r="145" spans="17:46" x14ac:dyDescent="0.25">
      <c r="Q145">
        <v>138</v>
      </c>
      <c r="R145" s="39">
        <f t="shared" si="88"/>
        <v>30</v>
      </c>
      <c r="S145" s="37">
        <f t="shared" si="89"/>
        <v>1.84</v>
      </c>
      <c r="T145" s="37">
        <f t="shared" si="90"/>
        <v>24</v>
      </c>
      <c r="U145" s="40">
        <f t="shared" si="91"/>
        <v>2.5555555555555554</v>
      </c>
      <c r="V145" s="39">
        <f t="shared" si="92"/>
        <v>2</v>
      </c>
      <c r="W145" s="37">
        <f t="shared" si="93"/>
        <v>0.19999999999999996</v>
      </c>
      <c r="X145" s="40">
        <f t="shared" si="94"/>
        <v>0.8</v>
      </c>
      <c r="Y145" s="39">
        <f t="shared" si="95"/>
        <v>0.94117647058823517</v>
      </c>
      <c r="Z145" s="37">
        <f t="shared" si="114"/>
        <v>3.0261437908496731</v>
      </c>
      <c r="AA145" s="37">
        <f t="shared" si="115"/>
        <v>2.569957579402808</v>
      </c>
      <c r="AB145" s="37">
        <v>0</v>
      </c>
      <c r="AC145" s="37">
        <f t="shared" si="96"/>
        <v>0.13209363919859882</v>
      </c>
      <c r="AD145" s="40">
        <f t="shared" si="105"/>
        <v>0.13209363919859882</v>
      </c>
      <c r="AE145" s="39">
        <f t="shared" si="113"/>
        <v>0.51111111111111096</v>
      </c>
      <c r="AF145" s="37">
        <f t="shared" si="106"/>
        <v>1.1493199693670983</v>
      </c>
      <c r="AG145" s="37">
        <f t="shared" si="97"/>
        <v>6.0763074031355436E-3</v>
      </c>
      <c r="AH145" s="37">
        <f t="shared" si="98"/>
        <v>1.1173336346568388</v>
      </c>
      <c r="AI145" s="40">
        <f t="shared" si="107"/>
        <v>1.1234099420599744</v>
      </c>
      <c r="AJ145" s="39">
        <f t="shared" si="108"/>
        <v>2.0444444444444443</v>
      </c>
      <c r="AK145" s="37">
        <f t="shared" si="99"/>
        <v>2.2986399387341971</v>
      </c>
      <c r="AL145" s="37">
        <f t="shared" si="100"/>
        <v>1.0671999999999999</v>
      </c>
      <c r="AM145" s="37">
        <f t="shared" si="101"/>
        <v>0.22935</v>
      </c>
      <c r="AN145" s="40">
        <f t="shared" si="109"/>
        <v>1.2965499999999999</v>
      </c>
      <c r="AO145" s="39">
        <f t="shared" si="102"/>
        <v>1.3209363919859878E-2</v>
      </c>
      <c r="AP145" s="37">
        <f t="shared" si="103"/>
        <v>0.19946250000000001</v>
      </c>
      <c r="AQ145" s="40">
        <f t="shared" si="104"/>
        <v>1.0800000000000001E-2</v>
      </c>
      <c r="AR145" s="39">
        <f t="shared" si="110"/>
        <v>2.7755254451784328</v>
      </c>
      <c r="AS145" s="37">
        <f t="shared" si="111"/>
        <v>55.2</v>
      </c>
      <c r="AT145" s="40">
        <f t="shared" si="112"/>
        <v>95.212591134162366</v>
      </c>
    </row>
    <row r="146" spans="17:46" x14ac:dyDescent="0.25">
      <c r="Q146">
        <v>139</v>
      </c>
      <c r="R146" s="39">
        <f t="shared" si="88"/>
        <v>30</v>
      </c>
      <c r="S146" s="37">
        <f t="shared" si="89"/>
        <v>1.8533333333333335</v>
      </c>
      <c r="T146" s="37">
        <f t="shared" si="90"/>
        <v>24</v>
      </c>
      <c r="U146" s="40">
        <f t="shared" si="91"/>
        <v>2.5740740740740744</v>
      </c>
      <c r="V146" s="39">
        <f t="shared" si="92"/>
        <v>2</v>
      </c>
      <c r="W146" s="37">
        <f t="shared" si="93"/>
        <v>0.19999999999999996</v>
      </c>
      <c r="X146" s="40">
        <f t="shared" si="94"/>
        <v>0.8</v>
      </c>
      <c r="Y146" s="39">
        <f t="shared" si="95"/>
        <v>0.94117647058823517</v>
      </c>
      <c r="Z146" s="37">
        <f t="shared" si="114"/>
        <v>3.0446623093681922</v>
      </c>
      <c r="AA146" s="37">
        <f t="shared" si="115"/>
        <v>2.5883730606733222</v>
      </c>
      <c r="AB146" s="37">
        <v>0</v>
      </c>
      <c r="AC146" s="37">
        <f t="shared" si="96"/>
        <v>0.13399350202438762</v>
      </c>
      <c r="AD146" s="40">
        <f t="shared" si="105"/>
        <v>0.13399350202438762</v>
      </c>
      <c r="AE146" s="39">
        <f t="shared" si="113"/>
        <v>0.51481481481481473</v>
      </c>
      <c r="AF146" s="37">
        <f t="shared" si="106"/>
        <v>1.157555622958947</v>
      </c>
      <c r="AG146" s="37">
        <f t="shared" si="97"/>
        <v>6.1637010931218286E-3</v>
      </c>
      <c r="AH146" s="37">
        <f t="shared" si="98"/>
        <v>1.1254302551978306</v>
      </c>
      <c r="AI146" s="40">
        <f t="shared" si="107"/>
        <v>1.1315939562909525</v>
      </c>
      <c r="AJ146" s="39">
        <f t="shared" si="108"/>
        <v>2.0592592592592598</v>
      </c>
      <c r="AK146" s="37">
        <f t="shared" si="99"/>
        <v>2.3151112459178944</v>
      </c>
      <c r="AL146" s="37">
        <f t="shared" si="100"/>
        <v>1.0749333333333333</v>
      </c>
      <c r="AM146" s="37">
        <f t="shared" si="101"/>
        <v>0.22935</v>
      </c>
      <c r="AN146" s="40">
        <f t="shared" si="109"/>
        <v>1.3042833333333332</v>
      </c>
      <c r="AO146" s="39">
        <f t="shared" si="102"/>
        <v>1.3399350202438758E-2</v>
      </c>
      <c r="AP146" s="37">
        <f t="shared" si="103"/>
        <v>0.19946250000000001</v>
      </c>
      <c r="AQ146" s="40">
        <f t="shared" si="104"/>
        <v>1.0800000000000001E-2</v>
      </c>
      <c r="AR146" s="39">
        <f t="shared" si="110"/>
        <v>2.7935326418511122</v>
      </c>
      <c r="AS146" s="37">
        <f t="shared" si="111"/>
        <v>55.600000000000009</v>
      </c>
      <c r="AT146" s="40">
        <f t="shared" si="112"/>
        <v>95.216023906303334</v>
      </c>
    </row>
    <row r="147" spans="17:46" x14ac:dyDescent="0.25">
      <c r="Q147">
        <v>140</v>
      </c>
      <c r="R147" s="39">
        <f t="shared" si="88"/>
        <v>30</v>
      </c>
      <c r="S147" s="37">
        <f t="shared" si="89"/>
        <v>1.8666666666666667</v>
      </c>
      <c r="T147" s="37">
        <f t="shared" si="90"/>
        <v>24</v>
      </c>
      <c r="U147" s="40">
        <f t="shared" si="91"/>
        <v>2.5925925925925926</v>
      </c>
      <c r="V147" s="39">
        <f t="shared" si="92"/>
        <v>2</v>
      </c>
      <c r="W147" s="37">
        <f t="shared" si="93"/>
        <v>0.19999999999999996</v>
      </c>
      <c r="X147" s="40">
        <f t="shared" si="94"/>
        <v>0.8</v>
      </c>
      <c r="Y147" s="39">
        <f t="shared" si="95"/>
        <v>0.94117647058823517</v>
      </c>
      <c r="Z147" s="37">
        <f t="shared" si="114"/>
        <v>3.0631808278867103</v>
      </c>
      <c r="AA147" s="37">
        <f t="shared" si="115"/>
        <v>2.6067900018154622</v>
      </c>
      <c r="AB147" s="37">
        <v>0</v>
      </c>
      <c r="AC147" s="37">
        <f t="shared" si="96"/>
        <v>0.13590708227130116</v>
      </c>
      <c r="AD147" s="40">
        <f t="shared" si="105"/>
        <v>0.13590708227130116</v>
      </c>
      <c r="AE147" s="39">
        <f t="shared" si="113"/>
        <v>0.51851851851851838</v>
      </c>
      <c r="AF147" s="37">
        <f t="shared" si="106"/>
        <v>1.1657919294252346</v>
      </c>
      <c r="AG147" s="37">
        <f t="shared" si="97"/>
        <v>6.2517257844798505E-3</v>
      </c>
      <c r="AH147" s="37">
        <f t="shared" si="98"/>
        <v>1.1335268757388219</v>
      </c>
      <c r="AI147" s="40">
        <f t="shared" si="107"/>
        <v>1.1397786015233018</v>
      </c>
      <c r="AJ147" s="39">
        <f t="shared" si="108"/>
        <v>2.074074074074074</v>
      </c>
      <c r="AK147" s="37">
        <f t="shared" si="99"/>
        <v>2.3315838588504696</v>
      </c>
      <c r="AL147" s="37">
        <f t="shared" si="100"/>
        <v>1.0826666666666667</v>
      </c>
      <c r="AM147" s="37">
        <f t="shared" si="101"/>
        <v>0.22935</v>
      </c>
      <c r="AN147" s="40">
        <f t="shared" si="109"/>
        <v>1.3120166666666666</v>
      </c>
      <c r="AO147" s="39">
        <f t="shared" si="102"/>
        <v>1.3590708227130112E-2</v>
      </c>
      <c r="AP147" s="37">
        <f t="shared" si="103"/>
        <v>0.19946250000000001</v>
      </c>
      <c r="AQ147" s="40">
        <f t="shared" si="104"/>
        <v>1.0800000000000001E-2</v>
      </c>
      <c r="AR147" s="39">
        <f t="shared" si="110"/>
        <v>2.8115555586884002</v>
      </c>
      <c r="AS147" s="37">
        <f t="shared" si="111"/>
        <v>56</v>
      </c>
      <c r="AT147" s="40">
        <f t="shared" si="112"/>
        <v>95.219382429218811</v>
      </c>
    </row>
    <row r="148" spans="17:46" x14ac:dyDescent="0.25">
      <c r="Q148">
        <v>141</v>
      </c>
      <c r="R148" s="39">
        <f t="shared" si="88"/>
        <v>30</v>
      </c>
      <c r="S148" s="37">
        <f t="shared" si="89"/>
        <v>1.8800000000000001</v>
      </c>
      <c r="T148" s="37">
        <f t="shared" si="90"/>
        <v>24</v>
      </c>
      <c r="U148" s="40">
        <f t="shared" si="91"/>
        <v>2.6111111111111112</v>
      </c>
      <c r="V148" s="39">
        <f t="shared" si="92"/>
        <v>2</v>
      </c>
      <c r="W148" s="37">
        <f t="shared" si="93"/>
        <v>0.19999999999999996</v>
      </c>
      <c r="X148" s="40">
        <f t="shared" si="94"/>
        <v>0.8</v>
      </c>
      <c r="Y148" s="39">
        <f t="shared" si="95"/>
        <v>0.94117647058823517</v>
      </c>
      <c r="Z148" s="37">
        <f t="shared" si="114"/>
        <v>3.0816993464052289</v>
      </c>
      <c r="AA148" s="37">
        <f t="shared" si="115"/>
        <v>2.6252083721043893</v>
      </c>
      <c r="AB148" s="37">
        <v>0</v>
      </c>
      <c r="AC148" s="37">
        <f t="shared" si="96"/>
        <v>0.13783437993933956</v>
      </c>
      <c r="AD148" s="40">
        <f t="shared" si="105"/>
        <v>0.13783437993933956</v>
      </c>
      <c r="AE148" s="39">
        <f t="shared" si="113"/>
        <v>0.52222222222222214</v>
      </c>
      <c r="AF148" s="37">
        <f t="shared" si="106"/>
        <v>1.1740288750253955</v>
      </c>
      <c r="AG148" s="37">
        <f t="shared" si="97"/>
        <v>6.3403814772096207E-3</v>
      </c>
      <c r="AH148" s="37">
        <f t="shared" si="98"/>
        <v>1.1416234962798135</v>
      </c>
      <c r="AI148" s="40">
        <f t="shared" si="107"/>
        <v>1.1479638777570231</v>
      </c>
      <c r="AJ148" s="39">
        <f t="shared" si="108"/>
        <v>2.088888888888889</v>
      </c>
      <c r="AK148" s="37">
        <f t="shared" si="99"/>
        <v>2.3480577500507911</v>
      </c>
      <c r="AL148" s="37">
        <f t="shared" si="100"/>
        <v>1.0904</v>
      </c>
      <c r="AM148" s="37">
        <f t="shared" si="101"/>
        <v>0.22935</v>
      </c>
      <c r="AN148" s="40">
        <f t="shared" si="109"/>
        <v>1.31975</v>
      </c>
      <c r="AO148" s="39">
        <f t="shared" si="102"/>
        <v>1.3783437993933959E-2</v>
      </c>
      <c r="AP148" s="37">
        <f t="shared" si="103"/>
        <v>0.19946250000000001</v>
      </c>
      <c r="AQ148" s="40">
        <f t="shared" si="104"/>
        <v>1.0800000000000001E-2</v>
      </c>
      <c r="AR148" s="39">
        <f t="shared" si="110"/>
        <v>2.8295941956902966</v>
      </c>
      <c r="AS148" s="37">
        <f t="shared" si="111"/>
        <v>56.400000000000006</v>
      </c>
      <c r="AT148" s="40">
        <f t="shared" si="112"/>
        <v>95.222668272314138</v>
      </c>
    </row>
    <row r="149" spans="17:46" x14ac:dyDescent="0.25">
      <c r="Q149">
        <v>142</v>
      </c>
      <c r="R149" s="39">
        <f t="shared" si="88"/>
        <v>30</v>
      </c>
      <c r="S149" s="37">
        <f t="shared" si="89"/>
        <v>1.8933333333333335</v>
      </c>
      <c r="T149" s="37">
        <f t="shared" si="90"/>
        <v>24</v>
      </c>
      <c r="U149" s="40">
        <f t="shared" si="91"/>
        <v>2.6296296296296298</v>
      </c>
      <c r="V149" s="39">
        <f t="shared" si="92"/>
        <v>2</v>
      </c>
      <c r="W149" s="37">
        <f t="shared" si="93"/>
        <v>0.19999999999999996</v>
      </c>
      <c r="X149" s="40">
        <f t="shared" si="94"/>
        <v>0.8</v>
      </c>
      <c r="Y149" s="39">
        <f t="shared" si="95"/>
        <v>0.94117647058823517</v>
      </c>
      <c r="Z149" s="37">
        <f t="shared" si="114"/>
        <v>3.1002178649237475</v>
      </c>
      <c r="AA149" s="37">
        <f t="shared" si="115"/>
        <v>2.6436281416691609</v>
      </c>
      <c r="AB149" s="37">
        <v>0</v>
      </c>
      <c r="AC149" s="37">
        <f t="shared" si="96"/>
        <v>0.13977539502850284</v>
      </c>
      <c r="AD149" s="40">
        <f t="shared" si="105"/>
        <v>0.13977539502850284</v>
      </c>
      <c r="AE149" s="39">
        <f t="shared" si="113"/>
        <v>0.5259259259259258</v>
      </c>
      <c r="AF149" s="37">
        <f t="shared" si="106"/>
        <v>1.1822664464007375</v>
      </c>
      <c r="AG149" s="37">
        <f t="shared" si="97"/>
        <v>6.4296681713111288E-3</v>
      </c>
      <c r="AH149" s="37">
        <f t="shared" si="98"/>
        <v>1.1497201168208051</v>
      </c>
      <c r="AI149" s="40">
        <f t="shared" si="107"/>
        <v>1.1561497849921163</v>
      </c>
      <c r="AJ149" s="39">
        <f t="shared" si="108"/>
        <v>2.1037037037037041</v>
      </c>
      <c r="AK149" s="37">
        <f t="shared" si="99"/>
        <v>2.3645328928014755</v>
      </c>
      <c r="AL149" s="37">
        <f t="shared" si="100"/>
        <v>1.0981333333333334</v>
      </c>
      <c r="AM149" s="37">
        <f t="shared" si="101"/>
        <v>0.22935</v>
      </c>
      <c r="AN149" s="40">
        <f t="shared" si="109"/>
        <v>1.3274833333333333</v>
      </c>
      <c r="AO149" s="39">
        <f t="shared" si="102"/>
        <v>1.3977539502850281E-2</v>
      </c>
      <c r="AP149" s="37">
        <f t="shared" si="103"/>
        <v>0.19946250000000001</v>
      </c>
      <c r="AQ149" s="40">
        <f t="shared" si="104"/>
        <v>1.0800000000000001E-2</v>
      </c>
      <c r="AR149" s="39">
        <f t="shared" si="110"/>
        <v>2.8476485528568034</v>
      </c>
      <c r="AS149" s="37">
        <f t="shared" si="111"/>
        <v>56.800000000000004</v>
      </c>
      <c r="AT149" s="40">
        <f t="shared" si="112"/>
        <v>95.225882961113953</v>
      </c>
    </row>
    <row r="150" spans="17:46" x14ac:dyDescent="0.25">
      <c r="Q150">
        <v>143</v>
      </c>
      <c r="R150" s="39">
        <f t="shared" si="88"/>
        <v>30</v>
      </c>
      <c r="S150" s="37">
        <f t="shared" si="89"/>
        <v>1.9066666666666667</v>
      </c>
      <c r="T150" s="37">
        <f t="shared" si="90"/>
        <v>24</v>
      </c>
      <c r="U150" s="40">
        <f t="shared" si="91"/>
        <v>2.6481481481481479</v>
      </c>
      <c r="V150" s="39">
        <f t="shared" si="92"/>
        <v>2</v>
      </c>
      <c r="W150" s="37">
        <f t="shared" si="93"/>
        <v>0.19999999999999996</v>
      </c>
      <c r="X150" s="40">
        <f t="shared" si="94"/>
        <v>0.8</v>
      </c>
      <c r="Y150" s="39">
        <f t="shared" si="95"/>
        <v>0.94117647058823517</v>
      </c>
      <c r="Z150" s="37">
        <f t="shared" si="114"/>
        <v>3.1187363834422657</v>
      </c>
      <c r="AA150" s="37">
        <f t="shared" si="115"/>
        <v>2.662049281463351</v>
      </c>
      <c r="AB150" s="37">
        <v>0</v>
      </c>
      <c r="AC150" s="37">
        <f t="shared" si="96"/>
        <v>0.14173012753879088</v>
      </c>
      <c r="AD150" s="40">
        <f t="shared" si="105"/>
        <v>0.14173012753879088</v>
      </c>
      <c r="AE150" s="39">
        <f t="shared" si="113"/>
        <v>0.52962962962962945</v>
      </c>
      <c r="AF150" s="37">
        <f t="shared" si="106"/>
        <v>1.1905046305613045</v>
      </c>
      <c r="AG150" s="37">
        <f t="shared" si="97"/>
        <v>6.5195858667843774E-3</v>
      </c>
      <c r="AH150" s="37">
        <f t="shared" si="98"/>
        <v>1.1578167373617969</v>
      </c>
      <c r="AI150" s="40">
        <f t="shared" si="107"/>
        <v>1.1643363232285813</v>
      </c>
      <c r="AJ150" s="39">
        <f t="shared" si="108"/>
        <v>2.1185185185185182</v>
      </c>
      <c r="AK150" s="37">
        <f t="shared" si="99"/>
        <v>2.3810092611226095</v>
      </c>
      <c r="AL150" s="37">
        <f t="shared" si="100"/>
        <v>1.1058666666666666</v>
      </c>
      <c r="AM150" s="37">
        <f t="shared" si="101"/>
        <v>0.22935</v>
      </c>
      <c r="AN150" s="40">
        <f t="shared" si="109"/>
        <v>1.3352166666666665</v>
      </c>
      <c r="AO150" s="39">
        <f t="shared" si="102"/>
        <v>1.4173012753879083E-2</v>
      </c>
      <c r="AP150" s="37">
        <f t="shared" si="103"/>
        <v>0.19946250000000001</v>
      </c>
      <c r="AQ150" s="40">
        <f t="shared" si="104"/>
        <v>1.0800000000000001E-2</v>
      </c>
      <c r="AR150" s="39">
        <f t="shared" si="110"/>
        <v>2.8657186301879181</v>
      </c>
      <c r="AS150" s="37">
        <f t="shared" si="111"/>
        <v>57.2</v>
      </c>
      <c r="AT150" s="40">
        <f t="shared" si="112"/>
        <v>95.229027978785126</v>
      </c>
    </row>
    <row r="151" spans="17:46" x14ac:dyDescent="0.25">
      <c r="Q151">
        <v>144</v>
      </c>
      <c r="R151" s="39">
        <f t="shared" si="88"/>
        <v>30</v>
      </c>
      <c r="S151" s="37">
        <f t="shared" si="89"/>
        <v>1.9200000000000002</v>
      </c>
      <c r="T151" s="37">
        <f t="shared" si="90"/>
        <v>24</v>
      </c>
      <c r="U151" s="40">
        <f t="shared" si="91"/>
        <v>2.6666666666666665</v>
      </c>
      <c r="V151" s="39">
        <f t="shared" si="92"/>
        <v>2</v>
      </c>
      <c r="W151" s="37">
        <f t="shared" si="93"/>
        <v>0.19999999999999996</v>
      </c>
      <c r="X151" s="40">
        <f t="shared" si="94"/>
        <v>0.8</v>
      </c>
      <c r="Y151" s="39">
        <f t="shared" si="95"/>
        <v>0.94117647058823517</v>
      </c>
      <c r="Z151" s="37">
        <f t="shared" si="114"/>
        <v>3.1372549019607843</v>
      </c>
      <c r="AA151" s="37">
        <f t="shared" si="115"/>
        <v>2.6804717632368726</v>
      </c>
      <c r="AB151" s="37">
        <v>0</v>
      </c>
      <c r="AC151" s="37">
        <f t="shared" si="96"/>
        <v>0.14369857747020379</v>
      </c>
      <c r="AD151" s="40">
        <f t="shared" si="105"/>
        <v>0.14369857747020379</v>
      </c>
      <c r="AE151" s="39">
        <f t="shared" si="113"/>
        <v>0.53333333333333321</v>
      </c>
      <c r="AF151" s="37">
        <f t="shared" si="106"/>
        <v>1.1987434148732736</v>
      </c>
      <c r="AG151" s="37">
        <f t="shared" si="97"/>
        <v>6.6101345636293716E-3</v>
      </c>
      <c r="AH151" s="37">
        <f t="shared" si="98"/>
        <v>1.1659133579027883</v>
      </c>
      <c r="AI151" s="40">
        <f t="shared" si="107"/>
        <v>1.1725234924664176</v>
      </c>
      <c r="AJ151" s="39">
        <f t="shared" si="108"/>
        <v>2.1333333333333333</v>
      </c>
      <c r="AK151" s="37">
        <f t="shared" si="99"/>
        <v>2.3974868297465473</v>
      </c>
      <c r="AL151" s="37">
        <f t="shared" si="100"/>
        <v>1.1135999999999999</v>
      </c>
      <c r="AM151" s="37">
        <f t="shared" si="101"/>
        <v>0.22935</v>
      </c>
      <c r="AN151" s="40">
        <f t="shared" si="109"/>
        <v>1.3429499999999999</v>
      </c>
      <c r="AO151" s="39">
        <f t="shared" si="102"/>
        <v>1.4369857747020374E-2</v>
      </c>
      <c r="AP151" s="37">
        <f t="shared" si="103"/>
        <v>0.19946250000000001</v>
      </c>
      <c r="AQ151" s="40">
        <f t="shared" si="104"/>
        <v>1.0800000000000001E-2</v>
      </c>
      <c r="AR151" s="39">
        <f t="shared" si="110"/>
        <v>2.8838044276836419</v>
      </c>
      <c r="AS151" s="37">
        <f t="shared" si="111"/>
        <v>57.6</v>
      </c>
      <c r="AT151" s="40">
        <f t="shared" si="112"/>
        <v>95.232104767596738</v>
      </c>
    </row>
    <row r="152" spans="17:46" x14ac:dyDescent="0.25">
      <c r="Q152">
        <v>145</v>
      </c>
      <c r="R152" s="39">
        <f t="shared" si="88"/>
        <v>30</v>
      </c>
      <c r="S152" s="37">
        <f t="shared" si="89"/>
        <v>1.9333333333333333</v>
      </c>
      <c r="T152" s="37">
        <f t="shared" si="90"/>
        <v>24</v>
      </c>
      <c r="U152" s="40">
        <f t="shared" si="91"/>
        <v>2.6851851851851851</v>
      </c>
      <c r="V152" s="39">
        <f t="shared" si="92"/>
        <v>2</v>
      </c>
      <c r="W152" s="37">
        <f t="shared" si="93"/>
        <v>0.19999999999999996</v>
      </c>
      <c r="X152" s="40">
        <f t="shared" si="94"/>
        <v>0.8</v>
      </c>
      <c r="Y152" s="39">
        <f t="shared" si="95"/>
        <v>0.94117647058823517</v>
      </c>
      <c r="Z152" s="37">
        <f t="shared" si="114"/>
        <v>3.1557734204793029</v>
      </c>
      <c r="AA152" s="37">
        <f t="shared" si="115"/>
        <v>2.6988955595089399</v>
      </c>
      <c r="AB152" s="37">
        <v>0</v>
      </c>
      <c r="AC152" s="37">
        <f t="shared" si="96"/>
        <v>0.14568074482274149</v>
      </c>
      <c r="AD152" s="40">
        <f t="shared" si="105"/>
        <v>0.14568074482274149</v>
      </c>
      <c r="AE152" s="39">
        <f t="shared" si="113"/>
        <v>0.53703703703703687</v>
      </c>
      <c r="AF152" s="37">
        <f t="shared" si="106"/>
        <v>1.2069827870468637</v>
      </c>
      <c r="AG152" s="37">
        <f t="shared" si="97"/>
        <v>6.7013142618461072E-3</v>
      </c>
      <c r="AH152" s="37">
        <f t="shared" si="98"/>
        <v>1.1740099784437799</v>
      </c>
      <c r="AI152" s="40">
        <f t="shared" si="107"/>
        <v>1.180711292705626</v>
      </c>
      <c r="AJ152" s="39">
        <f t="shared" si="108"/>
        <v>2.1481481481481484</v>
      </c>
      <c r="AK152" s="37">
        <f t="shared" si="99"/>
        <v>2.4139655740937278</v>
      </c>
      <c r="AL152" s="37">
        <f t="shared" si="100"/>
        <v>1.1213333333333333</v>
      </c>
      <c r="AM152" s="37">
        <f t="shared" si="101"/>
        <v>0.22935</v>
      </c>
      <c r="AN152" s="40">
        <f t="shared" si="109"/>
        <v>1.3506833333333332</v>
      </c>
      <c r="AO152" s="39">
        <f t="shared" si="102"/>
        <v>1.4568074482274148E-2</v>
      </c>
      <c r="AP152" s="37">
        <f t="shared" si="103"/>
        <v>0.19946250000000001</v>
      </c>
      <c r="AQ152" s="40">
        <f t="shared" si="104"/>
        <v>1.0800000000000001E-2</v>
      </c>
      <c r="AR152" s="39">
        <f t="shared" si="110"/>
        <v>2.9019059453439748</v>
      </c>
      <c r="AS152" s="37">
        <f t="shared" si="111"/>
        <v>58</v>
      </c>
      <c r="AT152" s="40">
        <f t="shared" si="112"/>
        <v>95.235114730320149</v>
      </c>
    </row>
    <row r="153" spans="17:46" x14ac:dyDescent="0.25">
      <c r="Q153">
        <v>146</v>
      </c>
      <c r="R153" s="39">
        <f t="shared" si="88"/>
        <v>30</v>
      </c>
      <c r="S153" s="37">
        <f t="shared" si="89"/>
        <v>1.9466666666666668</v>
      </c>
      <c r="T153" s="37">
        <f t="shared" si="90"/>
        <v>24</v>
      </c>
      <c r="U153" s="40">
        <f t="shared" si="91"/>
        <v>2.7037037037037037</v>
      </c>
      <c r="V153" s="39">
        <f t="shared" si="92"/>
        <v>2</v>
      </c>
      <c r="W153" s="37">
        <f t="shared" si="93"/>
        <v>0.19999999999999996</v>
      </c>
      <c r="X153" s="40">
        <f t="shared" si="94"/>
        <v>0.8</v>
      </c>
      <c r="Y153" s="39">
        <f t="shared" si="95"/>
        <v>0.94117647058823517</v>
      </c>
      <c r="Z153" s="37">
        <f t="shared" si="114"/>
        <v>3.1742919389978215</v>
      </c>
      <c r="AA153" s="37">
        <f t="shared" si="115"/>
        <v>2.7173206435421275</v>
      </c>
      <c r="AB153" s="37">
        <v>0</v>
      </c>
      <c r="AC153" s="37">
        <f t="shared" si="96"/>
        <v>0.14767662959640404</v>
      </c>
      <c r="AD153" s="40">
        <f t="shared" si="105"/>
        <v>0.14767662959640404</v>
      </c>
      <c r="AE153" s="39">
        <f t="shared" si="113"/>
        <v>0.54074074074074063</v>
      </c>
      <c r="AF153" s="37">
        <f t="shared" si="106"/>
        <v>1.2152227351247342</v>
      </c>
      <c r="AG153" s="37">
        <f t="shared" si="97"/>
        <v>6.7931249614345841E-3</v>
      </c>
      <c r="AH153" s="37">
        <f t="shared" si="98"/>
        <v>1.1821065989847717</v>
      </c>
      <c r="AI153" s="40">
        <f t="shared" si="107"/>
        <v>1.1888997239462062</v>
      </c>
      <c r="AJ153" s="39">
        <f t="shared" si="108"/>
        <v>2.162962962962963</v>
      </c>
      <c r="AK153" s="37">
        <f t="shared" si="99"/>
        <v>2.4304454702494689</v>
      </c>
      <c r="AL153" s="37">
        <f t="shared" si="100"/>
        <v>1.1290666666666667</v>
      </c>
      <c r="AM153" s="37">
        <f t="shared" si="101"/>
        <v>0.22935</v>
      </c>
      <c r="AN153" s="40">
        <f t="shared" si="109"/>
        <v>1.3584166666666666</v>
      </c>
      <c r="AO153" s="39">
        <f t="shared" si="102"/>
        <v>1.4767662959640399E-2</v>
      </c>
      <c r="AP153" s="37">
        <f t="shared" si="103"/>
        <v>0.19946250000000001</v>
      </c>
      <c r="AQ153" s="40">
        <f t="shared" si="104"/>
        <v>1.0800000000000001E-2</v>
      </c>
      <c r="AR153" s="39">
        <f t="shared" si="110"/>
        <v>2.9200231831689174</v>
      </c>
      <c r="AS153" s="37">
        <f t="shared" si="111"/>
        <v>58.400000000000006</v>
      </c>
      <c r="AT153" s="40">
        <f t="shared" si="112"/>
        <v>95.238059231571853</v>
      </c>
    </row>
    <row r="154" spans="17:46" x14ac:dyDescent="0.25">
      <c r="Q154">
        <v>147</v>
      </c>
      <c r="R154" s="39">
        <f t="shared" si="88"/>
        <v>30</v>
      </c>
      <c r="S154" s="37">
        <f t="shared" si="89"/>
        <v>1.9600000000000002</v>
      </c>
      <c r="T154" s="37">
        <f t="shared" si="90"/>
        <v>24</v>
      </c>
      <c r="U154" s="40">
        <f t="shared" si="91"/>
        <v>2.7222222222222223</v>
      </c>
      <c r="V154" s="39">
        <f t="shared" si="92"/>
        <v>2</v>
      </c>
      <c r="W154" s="37">
        <f t="shared" si="93"/>
        <v>0.19999999999999996</v>
      </c>
      <c r="X154" s="40">
        <f t="shared" si="94"/>
        <v>0.8</v>
      </c>
      <c r="Y154" s="39">
        <f t="shared" si="95"/>
        <v>0.94117647058823517</v>
      </c>
      <c r="Z154" s="37">
        <f t="shared" si="114"/>
        <v>3.1928104575163401</v>
      </c>
      <c r="AA154" s="37">
        <f t="shared" si="115"/>
        <v>2.7357469893174646</v>
      </c>
      <c r="AB154" s="37">
        <v>0</v>
      </c>
      <c r="AC154" s="37">
        <f t="shared" si="96"/>
        <v>0.14968623179119145</v>
      </c>
      <c r="AD154" s="40">
        <f t="shared" si="105"/>
        <v>0.14968623179119145</v>
      </c>
      <c r="AE154" s="39">
        <f t="shared" si="113"/>
        <v>0.5444444444444444</v>
      </c>
      <c r="AF154" s="37">
        <f t="shared" si="106"/>
        <v>1.2234632474708482</v>
      </c>
      <c r="AG154" s="37">
        <f t="shared" si="97"/>
        <v>6.8855666623948049E-3</v>
      </c>
      <c r="AH154" s="37">
        <f t="shared" si="98"/>
        <v>1.190203219525763</v>
      </c>
      <c r="AI154" s="40">
        <f t="shared" si="107"/>
        <v>1.1970887861881578</v>
      </c>
      <c r="AJ154" s="39">
        <f t="shared" si="108"/>
        <v>2.177777777777778</v>
      </c>
      <c r="AK154" s="37">
        <f t="shared" si="99"/>
        <v>2.4469264949416969</v>
      </c>
      <c r="AL154" s="37">
        <f t="shared" si="100"/>
        <v>1.1368</v>
      </c>
      <c r="AM154" s="37">
        <f t="shared" si="101"/>
        <v>0.22935</v>
      </c>
      <c r="AN154" s="40">
        <f t="shared" si="109"/>
        <v>1.36615</v>
      </c>
      <c r="AO154" s="39">
        <f t="shared" si="102"/>
        <v>1.496862317911914E-2</v>
      </c>
      <c r="AP154" s="37">
        <f t="shared" si="103"/>
        <v>0.19946250000000001</v>
      </c>
      <c r="AQ154" s="40">
        <f t="shared" si="104"/>
        <v>1.0800000000000001E-2</v>
      </c>
      <c r="AR154" s="39">
        <f t="shared" si="110"/>
        <v>2.9381561411584687</v>
      </c>
      <c r="AS154" s="37">
        <f t="shared" si="111"/>
        <v>58.800000000000004</v>
      </c>
      <c r="AT154" s="40">
        <f t="shared" si="112"/>
        <v>95.240939599101964</v>
      </c>
    </row>
    <row r="155" spans="17:46" x14ac:dyDescent="0.25">
      <c r="Q155">
        <v>148</v>
      </c>
      <c r="R155" s="39">
        <f t="shared" si="88"/>
        <v>30</v>
      </c>
      <c r="S155" s="37">
        <f t="shared" si="89"/>
        <v>1.9733333333333334</v>
      </c>
      <c r="T155" s="37">
        <f t="shared" si="90"/>
        <v>24</v>
      </c>
      <c r="U155" s="40">
        <f t="shared" si="91"/>
        <v>2.7407407407407405</v>
      </c>
      <c r="V155" s="39">
        <f t="shared" si="92"/>
        <v>2</v>
      </c>
      <c r="W155" s="37">
        <f t="shared" si="93"/>
        <v>0.19999999999999996</v>
      </c>
      <c r="X155" s="40">
        <f t="shared" si="94"/>
        <v>0.8</v>
      </c>
      <c r="Y155" s="39">
        <f t="shared" si="95"/>
        <v>0.94117647058823517</v>
      </c>
      <c r="Z155" s="37">
        <f t="shared" si="114"/>
        <v>3.2113289760348582</v>
      </c>
      <c r="AA155" s="37">
        <f t="shared" si="115"/>
        <v>2.7541745715105241</v>
      </c>
      <c r="AB155" s="37">
        <v>0</v>
      </c>
      <c r="AC155" s="37">
        <f t="shared" si="96"/>
        <v>0.1517095514071036</v>
      </c>
      <c r="AD155" s="40">
        <f t="shared" si="105"/>
        <v>0.1517095514071036</v>
      </c>
      <c r="AE155" s="39">
        <f t="shared" si="113"/>
        <v>0.54814814814814794</v>
      </c>
      <c r="AF155" s="37">
        <f t="shared" si="106"/>
        <v>1.2317043127597775</v>
      </c>
      <c r="AG155" s="37">
        <f t="shared" si="97"/>
        <v>6.9786393647267644E-3</v>
      </c>
      <c r="AH155" s="37">
        <f t="shared" si="98"/>
        <v>1.1982998400667546</v>
      </c>
      <c r="AI155" s="40">
        <f t="shared" si="107"/>
        <v>1.2052784794314815</v>
      </c>
      <c r="AJ155" s="39">
        <f t="shared" si="108"/>
        <v>2.1925925925925926</v>
      </c>
      <c r="AK155" s="37">
        <f t="shared" si="99"/>
        <v>2.4634086255195555</v>
      </c>
      <c r="AL155" s="37">
        <f t="shared" si="100"/>
        <v>1.1445333333333332</v>
      </c>
      <c r="AM155" s="37">
        <f t="shared" si="101"/>
        <v>0.22935</v>
      </c>
      <c r="AN155" s="40">
        <f t="shared" si="109"/>
        <v>1.3738833333333331</v>
      </c>
      <c r="AO155" s="39">
        <f t="shared" si="102"/>
        <v>1.5170955140710358E-2</v>
      </c>
      <c r="AP155" s="37">
        <f t="shared" si="103"/>
        <v>0.19946250000000001</v>
      </c>
      <c r="AQ155" s="40">
        <f t="shared" si="104"/>
        <v>1.0800000000000001E-2</v>
      </c>
      <c r="AR155" s="39">
        <f t="shared" si="110"/>
        <v>2.9563048193126287</v>
      </c>
      <c r="AS155" s="37">
        <f t="shared" si="111"/>
        <v>59.2</v>
      </c>
      <c r="AT155" s="40">
        <f t="shared" si="112"/>
        <v>95.243757125030896</v>
      </c>
    </row>
    <row r="156" spans="17:46" x14ac:dyDescent="0.25">
      <c r="Q156">
        <v>149</v>
      </c>
      <c r="R156" s="39">
        <f t="shared" si="88"/>
        <v>30</v>
      </c>
      <c r="S156" s="37">
        <f t="shared" si="89"/>
        <v>1.9866666666666668</v>
      </c>
      <c r="T156" s="37">
        <f t="shared" si="90"/>
        <v>24</v>
      </c>
      <c r="U156" s="40">
        <f t="shared" si="91"/>
        <v>2.7592592592592591</v>
      </c>
      <c r="V156" s="39">
        <f t="shared" si="92"/>
        <v>2</v>
      </c>
      <c r="W156" s="37">
        <f t="shared" si="93"/>
        <v>0.19999999999999996</v>
      </c>
      <c r="X156" s="40">
        <f t="shared" si="94"/>
        <v>0.8</v>
      </c>
      <c r="Y156" s="39">
        <f t="shared" si="95"/>
        <v>0.94117647058823517</v>
      </c>
      <c r="Z156" s="37">
        <f t="shared" si="114"/>
        <v>3.2298474945533768</v>
      </c>
      <c r="AA156" s="37">
        <f t="shared" si="115"/>
        <v>2.7726033654684601</v>
      </c>
      <c r="AB156" s="37">
        <v>0</v>
      </c>
      <c r="AC156" s="37">
        <f t="shared" si="96"/>
        <v>0.15374658844414063</v>
      </c>
      <c r="AD156" s="40">
        <f t="shared" si="105"/>
        <v>0.15374658844414063</v>
      </c>
      <c r="AE156" s="39">
        <f t="shared" si="113"/>
        <v>0.5518518518518517</v>
      </c>
      <c r="AF156" s="37">
        <f t="shared" si="106"/>
        <v>1.2399459199664338</v>
      </c>
      <c r="AG156" s="37">
        <f t="shared" si="97"/>
        <v>7.0723430684304662E-3</v>
      </c>
      <c r="AH156" s="37">
        <f t="shared" si="98"/>
        <v>1.2063964606077462</v>
      </c>
      <c r="AI156" s="40">
        <f t="shared" si="107"/>
        <v>1.2134688036761767</v>
      </c>
      <c r="AJ156" s="39">
        <f t="shared" si="108"/>
        <v>2.2074074074074073</v>
      </c>
      <c r="AK156" s="37">
        <f t="shared" si="99"/>
        <v>2.479891839932868</v>
      </c>
      <c r="AL156" s="37">
        <f t="shared" si="100"/>
        <v>1.1522666666666668</v>
      </c>
      <c r="AM156" s="37">
        <f t="shared" si="101"/>
        <v>0.22935</v>
      </c>
      <c r="AN156" s="40">
        <f t="shared" si="109"/>
        <v>1.3816166666666667</v>
      </c>
      <c r="AO156" s="39">
        <f t="shared" si="102"/>
        <v>1.5374658844414057E-2</v>
      </c>
      <c r="AP156" s="37">
        <f t="shared" si="103"/>
        <v>0.19946250000000001</v>
      </c>
      <c r="AQ156" s="40">
        <f t="shared" si="104"/>
        <v>1.0800000000000001E-2</v>
      </c>
      <c r="AR156" s="39">
        <f t="shared" si="110"/>
        <v>2.9744692176313983</v>
      </c>
      <c r="AS156" s="37">
        <f t="shared" si="111"/>
        <v>59.6</v>
      </c>
      <c r="AT156" s="40">
        <f t="shared" si="112"/>
        <v>95.24651306703646</v>
      </c>
    </row>
    <row r="157" spans="17:46" ht="15.75" thickBot="1" x14ac:dyDescent="0.3">
      <c r="Q157">
        <v>150</v>
      </c>
      <c r="R157" s="41">
        <f t="shared" si="88"/>
        <v>30</v>
      </c>
      <c r="S157" s="42">
        <f t="shared" si="89"/>
        <v>2</v>
      </c>
      <c r="T157" s="42">
        <f t="shared" si="90"/>
        <v>24</v>
      </c>
      <c r="U157" s="43">
        <f t="shared" si="91"/>
        <v>2.7777777777777777</v>
      </c>
      <c r="V157" s="41">
        <f t="shared" si="92"/>
        <v>2</v>
      </c>
      <c r="W157" s="42">
        <f t="shared" si="93"/>
        <v>0.19999999999999996</v>
      </c>
      <c r="X157" s="43">
        <f t="shared" si="94"/>
        <v>0.8</v>
      </c>
      <c r="Y157" s="41">
        <f t="shared" si="95"/>
        <v>0.94117647058823517</v>
      </c>
      <c r="Z157" s="42">
        <f t="shared" si="114"/>
        <v>3.2483660130718954</v>
      </c>
      <c r="AA157" s="42">
        <f t="shared" si="115"/>
        <v>2.791033347187942</v>
      </c>
      <c r="AB157" s="42">
        <v>0</v>
      </c>
      <c r="AC157" s="42">
        <f t="shared" si="96"/>
        <v>0.15579734290230254</v>
      </c>
      <c r="AD157" s="43">
        <f t="shared" si="105"/>
        <v>0.15579734290230254</v>
      </c>
      <c r="AE157" s="41">
        <f t="shared" si="113"/>
        <v>0.55555555555555536</v>
      </c>
      <c r="AF157" s="37">
        <f t="shared" si="106"/>
        <v>1.2481880583562019</v>
      </c>
      <c r="AG157" s="42">
        <f t="shared" si="97"/>
        <v>7.1666777735059162E-3</v>
      </c>
      <c r="AH157" s="42">
        <f t="shared" si="98"/>
        <v>1.2144930811487378</v>
      </c>
      <c r="AI157" s="43">
        <f t="shared" si="107"/>
        <v>1.2216597589222438</v>
      </c>
      <c r="AJ157" s="41">
        <f>X157*U157</f>
        <v>2.2222222222222223</v>
      </c>
      <c r="AK157" s="42">
        <f t="shared" si="99"/>
        <v>2.4963761167124039</v>
      </c>
      <c r="AL157" s="42">
        <f t="shared" si="100"/>
        <v>1.1599999999999999</v>
      </c>
      <c r="AM157" s="42">
        <f t="shared" si="101"/>
        <v>0.22935</v>
      </c>
      <c r="AN157" s="43">
        <f t="shared" si="109"/>
        <v>1.3893499999999999</v>
      </c>
      <c r="AO157" s="41">
        <f t="shared" si="102"/>
        <v>1.5579734290230254E-2</v>
      </c>
      <c r="AP157" s="42">
        <f t="shared" si="103"/>
        <v>0.19946250000000001</v>
      </c>
      <c r="AQ157" s="43">
        <f t="shared" si="104"/>
        <v>1.0800000000000001E-2</v>
      </c>
      <c r="AR157" s="41">
        <f t="shared" si="110"/>
        <v>2.9926493361147766</v>
      </c>
      <c r="AS157" s="42">
        <f t="shared" si="111"/>
        <v>60</v>
      </c>
      <c r="AT157" s="43">
        <f>(AS157/(AS157+AR157))*100</f>
        <v>95.249208649493909</v>
      </c>
    </row>
  </sheetData>
  <mergeCells count="7">
    <mergeCell ref="AO5:AQ5"/>
    <mergeCell ref="A1:M1"/>
    <mergeCell ref="R5:U5"/>
    <mergeCell ref="V5:X5"/>
    <mergeCell ref="Y5:AD5"/>
    <mergeCell ref="AE5:AI5"/>
    <mergeCell ref="AJ5:AN5"/>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Y708"/>
  <sheetViews>
    <sheetView topLeftCell="R1" zoomScale="80" zoomScaleNormal="80" workbookViewId="0">
      <selection activeCell="AY19" sqref="AY19:AY559"/>
    </sheetView>
  </sheetViews>
  <sheetFormatPr defaultColWidth="9.140625" defaultRowHeight="15" x14ac:dyDescent="0.25"/>
  <cols>
    <col min="1" max="1" width="13.140625" style="98" customWidth="1"/>
    <col min="2" max="2" width="25" style="98" customWidth="1"/>
    <col min="3" max="7" width="9.140625" style="98"/>
    <col min="8" max="10" width="8.85546875" style="98"/>
    <col min="11" max="11" width="12" style="98" bestFit="1" customWidth="1"/>
    <col min="12" max="14" width="9.140625" style="98"/>
    <col min="15" max="15" width="16.7109375" style="199" bestFit="1" customWidth="1"/>
    <col min="16" max="16" width="16.7109375" style="98" customWidth="1"/>
    <col min="17" max="25" width="9.140625" style="98"/>
    <col min="26" max="26" width="8.42578125" style="98" customWidth="1"/>
    <col min="27" max="28" width="9.140625" style="98"/>
    <col min="29" max="29" width="8.85546875" style="98"/>
    <col min="30" max="32" width="9.140625" style="98"/>
    <col min="33" max="33" width="10.140625" style="98" customWidth="1"/>
    <col min="34" max="34" width="12" style="98" bestFit="1" customWidth="1"/>
    <col min="35" max="41" width="9.140625" style="98"/>
    <col min="42" max="42" width="8.85546875" style="98"/>
    <col min="43" max="44" width="9.140625" style="98"/>
    <col min="45" max="45" width="8.85546875" style="98" customWidth="1"/>
    <col min="46" max="47" width="9.140625" style="98"/>
    <col min="48" max="48" width="11.85546875" style="98" bestFit="1" customWidth="1"/>
    <col min="49" max="16384" width="9.140625" style="98"/>
  </cols>
  <sheetData>
    <row r="1" spans="1:51" ht="27.75" x14ac:dyDescent="0.4">
      <c r="A1" s="237" t="s">
        <v>15</v>
      </c>
      <c r="B1" s="237"/>
      <c r="C1" s="237"/>
      <c r="D1" s="237"/>
      <c r="E1" s="237"/>
      <c r="F1" s="237"/>
      <c r="G1" s="237"/>
      <c r="H1" s="237"/>
      <c r="I1" s="237"/>
      <c r="J1" s="237"/>
      <c r="K1" s="237"/>
      <c r="L1" s="237"/>
      <c r="M1" s="237"/>
      <c r="N1" s="237" t="s">
        <v>229</v>
      </c>
      <c r="O1" s="237"/>
      <c r="P1" s="237"/>
      <c r="Q1" s="237"/>
      <c r="R1" s="237"/>
      <c r="S1" s="237"/>
      <c r="T1" s="237"/>
      <c r="U1" s="237"/>
      <c r="V1" s="237"/>
      <c r="W1" s="237"/>
      <c r="X1" s="237"/>
    </row>
    <row r="2" spans="1:51" x14ac:dyDescent="0.25">
      <c r="A2" s="158"/>
      <c r="B2" s="158" t="s">
        <v>16</v>
      </c>
      <c r="C2" s="159"/>
      <c r="D2" s="160"/>
      <c r="E2" s="158"/>
      <c r="F2" s="158"/>
      <c r="G2" s="158"/>
      <c r="H2" s="158"/>
      <c r="I2" s="158"/>
      <c r="J2" s="158"/>
      <c r="K2" s="158"/>
      <c r="L2" s="158"/>
      <c r="M2" s="158"/>
      <c r="O2" s="98"/>
    </row>
    <row r="3" spans="1:51" ht="15.75" thickBot="1" x14ac:dyDescent="0.3">
      <c r="A3" s="158"/>
      <c r="B3" s="158" t="s">
        <v>17</v>
      </c>
      <c r="C3" s="161"/>
      <c r="D3" s="160"/>
      <c r="E3" s="158"/>
      <c r="F3" s="162"/>
      <c r="G3" s="163"/>
      <c r="H3" s="163"/>
      <c r="I3" s="163"/>
      <c r="J3" s="163"/>
      <c r="K3" s="164"/>
      <c r="L3" s="158"/>
      <c r="M3" s="158"/>
      <c r="O3" s="98"/>
    </row>
    <row r="4" spans="1:51" ht="15.75" thickBot="1" x14ac:dyDescent="0.3">
      <c r="A4" s="158"/>
      <c r="B4" s="158" t="s">
        <v>18</v>
      </c>
      <c r="C4" s="165"/>
      <c r="D4" s="160"/>
      <c r="E4" s="158"/>
      <c r="F4" s="162"/>
      <c r="G4" s="163"/>
      <c r="H4" s="163"/>
      <c r="I4" s="163"/>
      <c r="J4" s="163"/>
      <c r="K4" s="164"/>
      <c r="L4" s="158"/>
      <c r="M4" s="158"/>
      <c r="N4" s="166"/>
      <c r="O4" s="167"/>
      <c r="P4" s="241" t="s">
        <v>260</v>
      </c>
      <c r="Q4" s="241"/>
      <c r="R4" s="241"/>
      <c r="S4" s="241"/>
      <c r="T4" s="241"/>
      <c r="U4" s="241"/>
      <c r="V4" s="241"/>
      <c r="W4" s="241"/>
      <c r="X4" s="241"/>
      <c r="Y4" s="241"/>
      <c r="Z4" s="241"/>
      <c r="AA4" s="241"/>
      <c r="AB4" s="241"/>
      <c r="AC4" s="241"/>
      <c r="AD4" s="241"/>
      <c r="AE4" s="242"/>
      <c r="AF4" s="243" t="s">
        <v>261</v>
      </c>
      <c r="AG4" s="241"/>
      <c r="AH4" s="241"/>
      <c r="AI4" s="241"/>
      <c r="AJ4" s="241"/>
      <c r="AK4" s="241"/>
      <c r="AL4" s="241"/>
      <c r="AM4" s="241"/>
      <c r="AN4" s="241"/>
      <c r="AO4" s="241"/>
      <c r="AP4" s="241"/>
      <c r="AQ4" s="241"/>
      <c r="AR4" s="242"/>
      <c r="AS4" s="243" t="s">
        <v>272</v>
      </c>
      <c r="AT4" s="241"/>
      <c r="AU4" s="242"/>
    </row>
    <row r="5" spans="1:51" x14ac:dyDescent="0.25">
      <c r="A5" s="158"/>
      <c r="D5" s="160"/>
      <c r="E5" s="158"/>
      <c r="F5" s="158"/>
      <c r="G5" s="158"/>
      <c r="H5" s="158"/>
      <c r="I5" s="158"/>
      <c r="J5" s="158"/>
      <c r="K5" s="158"/>
      <c r="L5" s="158"/>
      <c r="M5" s="158"/>
      <c r="N5" s="168"/>
      <c r="O5" s="169"/>
      <c r="Q5" s="239" t="s">
        <v>252</v>
      </c>
      <c r="R5" s="239"/>
      <c r="S5" s="239"/>
      <c r="T5" s="240" t="s">
        <v>254</v>
      </c>
      <c r="U5" s="240"/>
      <c r="V5" s="240"/>
      <c r="W5" s="240" t="s">
        <v>253</v>
      </c>
      <c r="X5" s="240"/>
      <c r="Y5" s="240"/>
      <c r="Z5" s="240" t="s">
        <v>257</v>
      </c>
      <c r="AA5" s="240"/>
      <c r="AB5" s="240"/>
      <c r="AC5" s="244" t="s">
        <v>259</v>
      </c>
      <c r="AD5" s="240"/>
      <c r="AE5" s="245"/>
      <c r="AG5" s="240" t="s">
        <v>268</v>
      </c>
      <c r="AH5" s="240"/>
      <c r="AI5" s="240"/>
      <c r="AJ5" s="240" t="s">
        <v>269</v>
      </c>
      <c r="AK5" s="240"/>
      <c r="AL5" s="240"/>
      <c r="AM5" s="240" t="s">
        <v>263</v>
      </c>
      <c r="AN5" s="240"/>
      <c r="AO5" s="240"/>
      <c r="AP5" s="244" t="s">
        <v>259</v>
      </c>
      <c r="AQ5" s="240"/>
      <c r="AR5" s="245"/>
      <c r="AS5" s="244" t="s">
        <v>259</v>
      </c>
      <c r="AT5" s="240"/>
      <c r="AU5" s="245"/>
      <c r="AV5" s="223"/>
    </row>
    <row r="6" spans="1:51" ht="15.75" thickBot="1" x14ac:dyDescent="0.3">
      <c r="A6" s="170" t="s">
        <v>19</v>
      </c>
      <c r="B6" s="170" t="s">
        <v>20</v>
      </c>
      <c r="C6" s="170" t="s">
        <v>21</v>
      </c>
      <c r="D6" s="160"/>
      <c r="E6" s="238" t="s">
        <v>22</v>
      </c>
      <c r="F6" s="238"/>
      <c r="G6" s="238"/>
      <c r="H6" s="238"/>
      <c r="I6" s="238"/>
      <c r="J6" s="238"/>
      <c r="K6" s="238"/>
      <c r="L6" s="158"/>
      <c r="M6" s="170"/>
      <c r="N6" s="168"/>
      <c r="O6" s="169"/>
      <c r="P6" s="160" t="s">
        <v>235</v>
      </c>
      <c r="Q6" s="98" t="s">
        <v>258</v>
      </c>
      <c r="R6" s="160" t="s">
        <v>255</v>
      </c>
      <c r="S6" s="160" t="s">
        <v>256</v>
      </c>
      <c r="T6" s="160" t="s">
        <v>258</v>
      </c>
      <c r="U6" s="160" t="s">
        <v>255</v>
      </c>
      <c r="V6" s="160" t="s">
        <v>256</v>
      </c>
      <c r="W6" s="160" t="s">
        <v>258</v>
      </c>
      <c r="X6" s="160" t="s">
        <v>255</v>
      </c>
      <c r="Y6" s="160" t="s">
        <v>256</v>
      </c>
      <c r="Z6" s="160" t="s">
        <v>258</v>
      </c>
      <c r="AA6" s="160" t="s">
        <v>255</v>
      </c>
      <c r="AB6" s="160" t="s">
        <v>256</v>
      </c>
      <c r="AC6" s="171" t="s">
        <v>273</v>
      </c>
      <c r="AD6" s="160" t="s">
        <v>255</v>
      </c>
      <c r="AE6" s="172" t="s">
        <v>256</v>
      </c>
      <c r="AF6" s="160" t="s">
        <v>270</v>
      </c>
      <c r="AG6" s="160" t="s">
        <v>258</v>
      </c>
      <c r="AH6" s="160" t="s">
        <v>271</v>
      </c>
      <c r="AI6" s="160" t="s">
        <v>256</v>
      </c>
      <c r="AJ6" s="160" t="s">
        <v>258</v>
      </c>
      <c r="AK6" s="160" t="s">
        <v>271</v>
      </c>
      <c r="AL6" s="160" t="s">
        <v>256</v>
      </c>
      <c r="AM6" s="160" t="s">
        <v>258</v>
      </c>
      <c r="AN6" s="160" t="s">
        <v>271</v>
      </c>
      <c r="AO6" s="160" t="s">
        <v>256</v>
      </c>
      <c r="AP6" s="171" t="s">
        <v>273</v>
      </c>
      <c r="AQ6" s="160" t="s">
        <v>255</v>
      </c>
      <c r="AR6" s="172" t="s">
        <v>256</v>
      </c>
      <c r="AS6" s="171" t="s">
        <v>273</v>
      </c>
      <c r="AT6" s="160" t="s">
        <v>255</v>
      </c>
      <c r="AU6" s="172" t="s">
        <v>256</v>
      </c>
      <c r="AV6" s="224"/>
    </row>
    <row r="7" spans="1:51" ht="15.75" thickBot="1" x14ac:dyDescent="0.3">
      <c r="A7" s="170"/>
      <c r="B7" s="170"/>
      <c r="C7" s="170"/>
      <c r="D7" s="160"/>
      <c r="E7" s="158"/>
      <c r="F7" s="158"/>
      <c r="G7" s="158"/>
      <c r="H7" s="158"/>
      <c r="I7" s="158"/>
      <c r="J7" s="158"/>
      <c r="K7" s="158"/>
      <c r="L7" s="158"/>
      <c r="M7" s="170"/>
      <c r="N7" s="98" t="s">
        <v>469</v>
      </c>
      <c r="O7" s="167">
        <f>fcross</f>
        <v>100000</v>
      </c>
      <c r="P7" s="173" t="str">
        <f>COMPLEX(ADC_VINmin,0)</f>
        <v>29</v>
      </c>
      <c r="Q7" s="174" t="str">
        <f>IMSUM(COMPLEX(1,0),IMDIV(COMPLEX(0,2*PI()*O7),COMPLEX(wp_lf_VINmin,0)))</f>
        <v>1+4712.3889803847i</v>
      </c>
      <c r="R7" s="174">
        <f t="shared" ref="R7:R13" si="0">IMABS(Q7)</f>
        <v>4712.3890864879941</v>
      </c>
      <c r="S7" s="174">
        <f t="shared" ref="S7:S13" si="1">IMARGUMENT(Q7)</f>
        <v>1.5705841202072928</v>
      </c>
      <c r="T7" s="174" t="str">
        <f>IMSUM(COMPLEX(1,0),IMDIV(COMPLEX(0,2*PI()*O7),COMPLEX(wz_esr_VINmin,0)))</f>
        <v>1+3.1415926535898i</v>
      </c>
      <c r="U7" s="174">
        <f t="shared" ref="U7:U13" si="2">IMABS(T7)</f>
        <v>3.2969083094756217</v>
      </c>
      <c r="V7" s="174">
        <f t="shared" ref="V7:V13" si="3">IMARGUMENT(T7)</f>
        <v>1.2626272556789124</v>
      </c>
      <c r="W7" s="175" t="str">
        <f>IMSUB(COMPLEX(1,0),IMDIV(COMPLEX(0,2*PI()*O7),COMPLEX(wz_RHP_VINmin,0)))</f>
        <v>1-4.00553063332699i</v>
      </c>
      <c r="X7" s="174">
        <f t="shared" ref="X7:X13" si="4">IMABS(W7)</f>
        <v>4.1284713459730975</v>
      </c>
      <c r="Y7" s="174">
        <f t="shared" ref="Y7:Y13" si="5">IMARGUMENT(W7)</f>
        <v>-1.3261425722169842</v>
      </c>
      <c r="Z7" s="175" t="str">
        <f t="shared" ref="Z7:Z13" si="6">IF(Dc_Mode_Loop="CCM",IMSUM(COMPLEX(1,0),IMDIV(COMPLEX(0,2*PI()*O7),COMPLEX(Q*(wsl/2),0)),IMDIV(IMPOWER(COMPLEX(0,2*PI()*O7),2),IMPOWER(COMPLEX(wsl/2,0),2))),COMPLEX(1,0))</f>
        <v>0.928888888888889+0.934937973708323i</v>
      </c>
      <c r="AA7" s="174">
        <f t="shared" ref="AA7:AA13" si="7">IMABS(Z7)</f>
        <v>1.3179315545896377</v>
      </c>
      <c r="AB7" s="174">
        <f t="shared" ref="AB7:AB13" si="8">IMARGUMENT(Z7)</f>
        <v>0.78864367063947471</v>
      </c>
      <c r="AC7" s="176" t="str">
        <f t="shared" ref="AC7:AC13" si="9">(IMDIV(IMPRODUCT(P7,T7,W7),IMPRODUCT(Q7,Z7)))</f>
        <v>-0.0478303414502712-0.0418531995149128i</v>
      </c>
      <c r="AD7" s="177">
        <f t="shared" ref="AD7:AD13" si="10">20*LOG(IMABS(AC7))</f>
        <v>-23.936797120729185</v>
      </c>
      <c r="AE7" s="167">
        <f t="shared" ref="AE7:AE13" si="11">(180/PI())*IMARGUMENT(AC7)</f>
        <v>-138.81295489756167</v>
      </c>
      <c r="AF7" s="175" t="str">
        <f t="shared" ref="AF7:AF13" si="12">COMPLEX(Adc_ea,0)</f>
        <v>-0.0000673063927557778</v>
      </c>
      <c r="AG7" s="175" t="str">
        <f t="shared" ref="AG7:AG13" si="13">COMPLEX(0,2*PI()*O7*wp0_ea)</f>
        <v>0.00632591096726841i</v>
      </c>
      <c r="AH7" s="175">
        <f t="shared" ref="AH7:AH13" si="14">IMABS(AG7)</f>
        <v>6.32591096726841E-3</v>
      </c>
      <c r="AI7" s="175">
        <f t="shared" ref="AI7:AI13" si="15">IMARGUMENT(AG7)</f>
        <v>1.5707963267948966</v>
      </c>
      <c r="AJ7" s="175" t="str">
        <f t="shared" ref="AJ7:AJ13" si="16">IMSUM(COMPLEX(1,0),IMDIV(COMPLEX(0,2*PI()*O7),COMPLEX(wp1_ea,0)))</f>
        <v>1+6.3655631836742i</v>
      </c>
      <c r="AK7" s="175">
        <f t="shared" ref="AK7:AK13" si="17">IMABS(AJ7)</f>
        <v>6.4436321004033443</v>
      </c>
      <c r="AL7" s="175">
        <f t="shared" ref="AL7:AL13" si="18">IMARGUMENT(AJ7)</f>
        <v>1.4149745457018637</v>
      </c>
      <c r="AM7" s="175" t="str">
        <f t="shared" ref="AM7:AM13" si="19">IMSUM(COMPLEX(1,0),IMDIV(COMPLEX(0,2*PI()*O7),COMPLEX(wz_ea,0)))</f>
        <v>1+942.477796076938i</v>
      </c>
      <c r="AN7" s="175">
        <f t="shared" ref="AN7:AN13" si="20">IMABS(AM7)</f>
        <v>942.47832659326582</v>
      </c>
      <c r="AO7" s="175">
        <f t="shared" ref="AO7:AO13" si="21">IMARGUMENT(AM7)</f>
        <v>1.5697352942391174</v>
      </c>
      <c r="AP7" s="166" t="str">
        <f t="shared" ref="AP7:AP13" si="22">IMPRODUCT(AF7,IMDIV(AM7,IMPRODUCT(AG7,AJ7)))</f>
        <v>-0.239883119554354+1.53763094872624i</v>
      </c>
      <c r="AQ7" s="175">
        <f t="shared" ref="AQ7:AQ13" si="23">20*LOG(IMABS(AP7))</f>
        <v>3.8414775139301232</v>
      </c>
      <c r="AR7" s="167">
        <f t="shared" ref="AR7:AR13" si="24">(180/PI())*IMARGUMENT(AP7)</f>
        <v>98.867137725470059</v>
      </c>
      <c r="AS7" s="166" t="str">
        <f t="shared" ref="AS7:AS13" si="25">IMPRODUCT(AC7,AP7)</f>
        <v>0.075828466393785-0.0635055372391125i</v>
      </c>
      <c r="AT7" s="177">
        <f t="shared" ref="AT7:AT13" si="26">20*LOG(IMABS(AS7))</f>
        <v>-20.095319606799059</v>
      </c>
      <c r="AU7" s="167">
        <f t="shared" ref="AU7:AU13" si="27">(180/PI())*IMARGUMENT(AS7)</f>
        <v>-39.945817172091608</v>
      </c>
      <c r="AV7" s="225"/>
    </row>
    <row r="8" spans="1:51" ht="15.75" thickBot="1" x14ac:dyDescent="0.3">
      <c r="A8" s="170"/>
      <c r="B8" s="170"/>
      <c r="C8" s="170"/>
      <c r="D8" s="160"/>
      <c r="E8" s="158"/>
      <c r="F8" s="158"/>
      <c r="G8" s="158"/>
      <c r="H8" s="158"/>
      <c r="I8" s="158"/>
      <c r="J8" s="158"/>
      <c r="K8" s="158"/>
      <c r="L8" s="158"/>
      <c r="M8" s="170"/>
      <c r="N8" s="166" t="s">
        <v>302</v>
      </c>
      <c r="O8" s="167">
        <f>fcross</f>
        <v>100000</v>
      </c>
      <c r="P8" s="173" t="str">
        <f t="shared" ref="P8:P13" si="28">COMPLEX(Adc,0)</f>
        <v>87</v>
      </c>
      <c r="Q8" s="174" t="str">
        <f t="shared" ref="Q8:Q13" si="29">IMSUM(COMPLEX(1,0),IMDIV(COMPLEX(0,2*PI()*O8),COMPLEX(wp_lf,0)))</f>
        <v>1+4712.3889803847i</v>
      </c>
      <c r="R8" s="174">
        <f t="shared" si="0"/>
        <v>4712.3890864879941</v>
      </c>
      <c r="S8" s="174">
        <f t="shared" si="1"/>
        <v>1.5705841202072928</v>
      </c>
      <c r="T8" s="174" t="str">
        <f t="shared" ref="T8:T13" si="30">IMSUM(COMPLEX(1,0),IMDIV(COMPLEX(0,2*PI()*O8),COMPLEX(wz_esr,0)))</f>
        <v>1+3.1415926535898i</v>
      </c>
      <c r="U8" s="174">
        <f t="shared" si="2"/>
        <v>3.2969083094756217</v>
      </c>
      <c r="V8" s="174">
        <f t="shared" si="3"/>
        <v>1.2626272556789124</v>
      </c>
      <c r="W8" s="175" t="str">
        <f t="shared" ref="W8:W13" si="31">IMSUB(COMPLEX(1,0),IMDIV(COMPLEX(0,2*PI()*O8),COMPLEX(wz_rhp,0)))</f>
        <v>1-0.445058959258555i</v>
      </c>
      <c r="X8" s="174">
        <f t="shared" si="4"/>
        <v>1.094567255684322</v>
      </c>
      <c r="Y8" s="174">
        <f t="shared" si="5"/>
        <v>-0.41873736407359202</v>
      </c>
      <c r="Z8" s="175" t="str">
        <f t="shared" si="6"/>
        <v>0.928888888888889+0.934937973708323i</v>
      </c>
      <c r="AA8" s="174">
        <f t="shared" si="7"/>
        <v>1.3179315545896377</v>
      </c>
      <c r="AB8" s="174">
        <f t="shared" si="8"/>
        <v>0.78864367063947471</v>
      </c>
      <c r="AC8" s="176" t="str">
        <f t="shared" si="9"/>
        <v>0.00280207324053262-0.050473842382442i</v>
      </c>
      <c r="AD8" s="177">
        <f t="shared" si="10"/>
        <v>-25.925308481025425</v>
      </c>
      <c r="AE8" s="167">
        <f t="shared" si="11"/>
        <v>-86.822466162755333</v>
      </c>
      <c r="AF8" s="175" t="str">
        <f t="shared" si="12"/>
        <v>-0.0000673063927557778</v>
      </c>
      <c r="AG8" s="175" t="str">
        <f t="shared" si="13"/>
        <v>0.00632591096726841i</v>
      </c>
      <c r="AH8" s="175">
        <f t="shared" si="14"/>
        <v>6.32591096726841E-3</v>
      </c>
      <c r="AI8" s="175">
        <f t="shared" si="15"/>
        <v>1.5707963267948966</v>
      </c>
      <c r="AJ8" s="175" t="str">
        <f t="shared" si="16"/>
        <v>1+6.3655631836742i</v>
      </c>
      <c r="AK8" s="175">
        <f t="shared" si="17"/>
        <v>6.4436321004033443</v>
      </c>
      <c r="AL8" s="175">
        <f t="shared" si="18"/>
        <v>1.4149745457018637</v>
      </c>
      <c r="AM8" s="175" t="str">
        <f t="shared" si="19"/>
        <v>1+942.477796076938i</v>
      </c>
      <c r="AN8" s="175">
        <f t="shared" si="20"/>
        <v>942.47832659326582</v>
      </c>
      <c r="AO8" s="175">
        <f t="shared" si="21"/>
        <v>1.5697352942391174</v>
      </c>
      <c r="AP8" s="166" t="str">
        <f t="shared" si="22"/>
        <v>-0.239883119554354+1.53763094872624i</v>
      </c>
      <c r="AQ8" s="175">
        <f t="shared" si="23"/>
        <v>3.8414775139301232</v>
      </c>
      <c r="AR8" s="167">
        <f t="shared" si="24"/>
        <v>98.867137725470059</v>
      </c>
      <c r="AS8" s="166" t="str">
        <f t="shared" si="25"/>
        <v>0.0769379720782143+0.0164163773018355i</v>
      </c>
      <c r="AT8" s="177">
        <f t="shared" si="26"/>
        <v>-22.083830967095295</v>
      </c>
      <c r="AU8" s="167">
        <f t="shared" si="27"/>
        <v>12.044671562714701</v>
      </c>
      <c r="AV8" s="225"/>
    </row>
    <row r="9" spans="1:51" x14ac:dyDescent="0.25">
      <c r="A9" s="178" t="s">
        <v>205</v>
      </c>
      <c r="B9" s="170"/>
      <c r="C9" s="170"/>
      <c r="D9" s="160"/>
      <c r="E9" s="158"/>
      <c r="F9" s="158"/>
      <c r="G9" s="158"/>
      <c r="H9" s="158"/>
      <c r="I9" s="158"/>
      <c r="J9" s="158"/>
      <c r="K9" s="158"/>
      <c r="L9" s="158"/>
      <c r="M9" s="170"/>
      <c r="N9" s="179" t="s">
        <v>303</v>
      </c>
      <c r="O9" s="180">
        <f>wz_rhp/(2*PI())</f>
        <v>224689.3314238523</v>
      </c>
      <c r="P9" s="181" t="str">
        <f t="shared" si="28"/>
        <v>87</v>
      </c>
      <c r="Q9" s="182" t="str">
        <f t="shared" si="29"/>
        <v>1+10588.2352941177i</v>
      </c>
      <c r="R9" s="182">
        <f t="shared" si="0"/>
        <v>10588.235341339921</v>
      </c>
      <c r="S9" s="182">
        <f t="shared" si="1"/>
        <v>1.570701882350733</v>
      </c>
      <c r="T9" s="182" t="str">
        <f t="shared" si="30"/>
        <v>1+7.05882352941175i</v>
      </c>
      <c r="U9" s="182">
        <f t="shared" si="2"/>
        <v>7.1293049885228621</v>
      </c>
      <c r="V9" s="182">
        <f t="shared" si="3"/>
        <v>1.4300661328046711</v>
      </c>
      <c r="W9" s="183" t="str">
        <f t="shared" si="31"/>
        <v>1-i</v>
      </c>
      <c r="X9" s="182">
        <f t="shared" si="4"/>
        <v>1.4142135623730951</v>
      </c>
      <c r="Y9" s="182">
        <f t="shared" si="5"/>
        <v>-0.78539816339744828</v>
      </c>
      <c r="Z9" s="183" t="str">
        <f t="shared" si="6"/>
        <v>0.640993453115038+2.10070588235294i</v>
      </c>
      <c r="AA9" s="182">
        <f t="shared" si="7"/>
        <v>2.1963237036212546</v>
      </c>
      <c r="AB9" s="182">
        <f t="shared" si="8"/>
        <v>1.2746375739524085</v>
      </c>
      <c r="AC9" s="184" t="str">
        <f t="shared" si="9"/>
        <v>-0.0222182146293106-0.0304808575730229i</v>
      </c>
      <c r="AD9" s="185">
        <f t="shared" si="10"/>
        <v>-28.468769797122413</v>
      </c>
      <c r="AE9" s="186">
        <f t="shared" si="11"/>
        <v>-126.08918829391553</v>
      </c>
      <c r="AF9" s="183" t="str">
        <f t="shared" si="12"/>
        <v>-0.0000673063927557778</v>
      </c>
      <c r="AG9" s="183" t="str">
        <f t="shared" si="13"/>
        <v>0.0142136470588235i</v>
      </c>
      <c r="AH9" s="183">
        <f t="shared" si="14"/>
        <v>1.4213647058823499E-2</v>
      </c>
      <c r="AI9" s="183">
        <f t="shared" si="15"/>
        <v>1.5707963267948966</v>
      </c>
      <c r="AJ9" s="183" t="str">
        <f t="shared" si="16"/>
        <v>1+14.3027413587604i</v>
      </c>
      <c r="AK9" s="183">
        <f t="shared" si="17"/>
        <v>14.337657074138551</v>
      </c>
      <c r="AL9" s="183">
        <f t="shared" si="18"/>
        <v>1.5009932526325258</v>
      </c>
      <c r="AM9" s="183" t="str">
        <f t="shared" si="19"/>
        <v>1+2117.64705882352i</v>
      </c>
      <c r="AN9" s="183">
        <f t="shared" si="20"/>
        <v>2117.6472949346185</v>
      </c>
      <c r="AO9" s="183">
        <f t="shared" si="21"/>
        <v>1.5703241046077752</v>
      </c>
      <c r="AP9" s="179" t="str">
        <f t="shared" si="22"/>
        <v>-0.0484512273770859+0.69772070955857i</v>
      </c>
      <c r="AQ9" s="183">
        <f t="shared" si="23"/>
        <v>-3.1054754549239916</v>
      </c>
      <c r="AR9" s="186">
        <f t="shared" si="24"/>
        <v>93.972365208228041</v>
      </c>
      <c r="AS9" s="179" t="str">
        <f t="shared" si="25"/>
        <v>0.0223436253427209-0.0140252735153681i</v>
      </c>
      <c r="AT9" s="185">
        <f t="shared" si="26"/>
        <v>-31.574245252046396</v>
      </c>
      <c r="AU9" s="186">
        <f t="shared" si="27"/>
        <v>-32.116823085687464</v>
      </c>
      <c r="AV9" s="225"/>
    </row>
    <row r="10" spans="1:51" x14ac:dyDescent="0.25">
      <c r="A10" s="98" t="s">
        <v>25</v>
      </c>
      <c r="B10" s="187">
        <f>VIN_min</f>
        <v>8</v>
      </c>
      <c r="C10" s="98" t="s">
        <v>10</v>
      </c>
      <c r="E10" s="98" t="s">
        <v>28</v>
      </c>
      <c r="N10" s="168" t="s">
        <v>254</v>
      </c>
      <c r="O10" s="188">
        <f>wz_esr/(2*PI())</f>
        <v>31830.988618379062</v>
      </c>
      <c r="P10" s="189" t="str">
        <f t="shared" si="28"/>
        <v>87</v>
      </c>
      <c r="Q10" s="160" t="str">
        <f t="shared" si="29"/>
        <v>1+1500i</v>
      </c>
      <c r="R10" s="160">
        <f t="shared" si="0"/>
        <v>1500.0003333332963</v>
      </c>
      <c r="S10" s="160">
        <f t="shared" si="1"/>
        <v>1.5701296602269954</v>
      </c>
      <c r="T10" s="160" t="str">
        <f t="shared" si="30"/>
        <v>1+i</v>
      </c>
      <c r="U10" s="160">
        <f t="shared" si="2"/>
        <v>1.4142135623730951</v>
      </c>
      <c r="V10" s="160">
        <f t="shared" si="3"/>
        <v>0.78539816339744828</v>
      </c>
      <c r="W10" s="98" t="str">
        <f t="shared" si="31"/>
        <v>1-0.141666666666667i</v>
      </c>
      <c r="X10" s="160">
        <f t="shared" si="4"/>
        <v>1.0099848733740742</v>
      </c>
      <c r="Y10" s="160">
        <f t="shared" si="5"/>
        <v>-0.14073019399022563</v>
      </c>
      <c r="Z10" s="98" t="str">
        <f t="shared" si="6"/>
        <v>0.9927949380521+0.2976i</v>
      </c>
      <c r="AA10" s="160">
        <f t="shared" si="7"/>
        <v>1.0364398434168154</v>
      </c>
      <c r="AB10" s="160">
        <f t="shared" si="8"/>
        <v>0.29123640178288607</v>
      </c>
      <c r="AC10" s="171" t="str">
        <f t="shared" si="9"/>
        <v>0.0277155485660217-0.0749717718768766i</v>
      </c>
      <c r="AD10" s="190">
        <f t="shared" si="10"/>
        <v>-21.945726715611379</v>
      </c>
      <c r="AE10" s="169">
        <f t="shared" si="11"/>
        <v>-69.711665647749712</v>
      </c>
      <c r="AF10" s="98" t="str">
        <f t="shared" si="12"/>
        <v>-0.0000673063927557778</v>
      </c>
      <c r="AG10" s="98" t="str">
        <f t="shared" si="13"/>
        <v>0.0020136i</v>
      </c>
      <c r="AH10" s="98">
        <f t="shared" si="14"/>
        <v>2.0135999999999999E-3</v>
      </c>
      <c r="AI10" s="98">
        <f t="shared" si="15"/>
        <v>1.5707963267948966</v>
      </c>
      <c r="AJ10" s="98" t="str">
        <f t="shared" si="16"/>
        <v>1+2.02622169249106i</v>
      </c>
      <c r="AK10" s="98">
        <f t="shared" si="17"/>
        <v>2.259551802265515</v>
      </c>
      <c r="AL10" s="98">
        <f t="shared" si="18"/>
        <v>1.1123385744770709</v>
      </c>
      <c r="AM10" s="98" t="str">
        <f t="shared" si="19"/>
        <v>1+300i</v>
      </c>
      <c r="AN10" s="98">
        <f t="shared" si="20"/>
        <v>300.00166666203705</v>
      </c>
      <c r="AO10" s="98">
        <f t="shared" si="21"/>
        <v>1.5674630058071599</v>
      </c>
      <c r="AP10" s="168" t="str">
        <f t="shared" si="22"/>
        <v>-1.9508171099829+3.98621384658622i</v>
      </c>
      <c r="AQ10" s="98">
        <f t="shared" si="23"/>
        <v>12.943689559531489</v>
      </c>
      <c r="AR10" s="169">
        <f t="shared" si="24"/>
        <v>116.07670906850574</v>
      </c>
      <c r="AS10" s="168" t="str">
        <f t="shared" si="25"/>
        <v>0.244785548803552+0.256736318802754i</v>
      </c>
      <c r="AT10" s="190">
        <f t="shared" si="26"/>
        <v>-9.00203715607989</v>
      </c>
      <c r="AU10" s="169">
        <f t="shared" si="27"/>
        <v>46.365043420755974</v>
      </c>
      <c r="AV10" s="225"/>
    </row>
    <row r="11" spans="1:51" ht="15.75" thickBot="1" x14ac:dyDescent="0.3">
      <c r="A11" s="98" t="s">
        <v>26</v>
      </c>
      <c r="B11" s="187">
        <f>VIN_nom</f>
        <v>24</v>
      </c>
      <c r="C11" s="98" t="s">
        <v>10</v>
      </c>
      <c r="E11" s="98" t="s">
        <v>29</v>
      </c>
      <c r="N11" s="191" t="s">
        <v>252</v>
      </c>
      <c r="O11" s="192">
        <f>wp_lf/(2*PI())</f>
        <v>21.220659078919379</v>
      </c>
      <c r="P11" s="193" t="str">
        <f t="shared" si="28"/>
        <v>87</v>
      </c>
      <c r="Q11" s="194" t="str">
        <f t="shared" si="29"/>
        <v>1+i</v>
      </c>
      <c r="R11" s="194">
        <f t="shared" si="0"/>
        <v>1.4142135623730951</v>
      </c>
      <c r="S11" s="194">
        <f t="shared" si="1"/>
        <v>0.78539816339744828</v>
      </c>
      <c r="T11" s="194" t="str">
        <f t="shared" si="30"/>
        <v>1+0.000666666666666665i</v>
      </c>
      <c r="U11" s="194">
        <f t="shared" si="2"/>
        <v>1.0000002222221975</v>
      </c>
      <c r="V11" s="194">
        <f t="shared" si="3"/>
        <v>6.6666656790125923E-4</v>
      </c>
      <c r="W11" s="195" t="str">
        <f t="shared" si="31"/>
        <v>1-0.0000944444444444444i</v>
      </c>
      <c r="X11" s="194">
        <f t="shared" si="4"/>
        <v>1.0000000044598765</v>
      </c>
      <c r="Y11" s="194">
        <f t="shared" si="5"/>
        <v>-9.4444444163637367E-5</v>
      </c>
      <c r="Z11" s="195" t="str">
        <f t="shared" si="6"/>
        <v>0.99999999679775+0.0001984i</v>
      </c>
      <c r="AA11" s="194">
        <f t="shared" si="7"/>
        <v>1.0000000164790299</v>
      </c>
      <c r="AB11" s="194">
        <f t="shared" si="8"/>
        <v>1.9839999803214912E-4</v>
      </c>
      <c r="AC11" s="196" t="str">
        <f t="shared" si="9"/>
        <v>43.5162673699295-43.4837448389142i</v>
      </c>
      <c r="AD11" s="197">
        <f t="shared" si="10"/>
        <v>35.780086921532785</v>
      </c>
      <c r="AE11" s="198">
        <f t="shared" si="11"/>
        <v>-44.978581569908428</v>
      </c>
      <c r="AF11" s="195" t="str">
        <f t="shared" si="12"/>
        <v>-0.0000673063927557778</v>
      </c>
      <c r="AG11" s="195" t="str">
        <f t="shared" si="13"/>
        <v>0.0000013424i</v>
      </c>
      <c r="AH11" s="195">
        <f t="shared" si="14"/>
        <v>1.3424000000000001E-6</v>
      </c>
      <c r="AI11" s="195">
        <f t="shared" si="15"/>
        <v>1.5707963267948966</v>
      </c>
      <c r="AJ11" s="195" t="str">
        <f t="shared" si="16"/>
        <v>1+0.0013508144616607i</v>
      </c>
      <c r="AK11" s="195">
        <f t="shared" si="17"/>
        <v>1.0000009123494387</v>
      </c>
      <c r="AL11" s="195">
        <f t="shared" si="18"/>
        <v>1.3508136400513474E-3</v>
      </c>
      <c r="AM11" s="195" t="str">
        <f t="shared" si="19"/>
        <v>1+0.199999999999999i</v>
      </c>
      <c r="AN11" s="195">
        <f t="shared" si="20"/>
        <v>1.0198039027185568</v>
      </c>
      <c r="AO11" s="195">
        <f t="shared" si="21"/>
        <v>0.1973955598498798</v>
      </c>
      <c r="AP11" s="191" t="str">
        <f t="shared" si="22"/>
        <v>-9.96002361860185+50.1523045281631i</v>
      </c>
      <c r="AQ11" s="195">
        <f t="shared" si="23"/>
        <v>34.173812907493058</v>
      </c>
      <c r="AR11" s="198">
        <f t="shared" si="24"/>
        <v>101.23253655353653</v>
      </c>
      <c r="AS11" s="191" t="str">
        <f t="shared" si="25"/>
        <v>1747.38696238827+2615.54021868651i</v>
      </c>
      <c r="AT11" s="197">
        <f t="shared" si="26"/>
        <v>69.953899829025829</v>
      </c>
      <c r="AU11" s="198">
        <f t="shared" si="27"/>
        <v>56.253954983628162</v>
      </c>
      <c r="AV11" s="225"/>
      <c r="AX11" s="213" t="s">
        <v>537</v>
      </c>
      <c r="AY11" s="213"/>
    </row>
    <row r="12" spans="1:51" x14ac:dyDescent="0.25">
      <c r="A12" s="98" t="s">
        <v>27</v>
      </c>
      <c r="B12" s="187">
        <f>VIN_max</f>
        <v>24</v>
      </c>
      <c r="C12" s="98" t="s">
        <v>10</v>
      </c>
      <c r="E12" s="98" t="s">
        <v>30</v>
      </c>
      <c r="N12" s="179" t="s">
        <v>263</v>
      </c>
      <c r="O12" s="186">
        <f>wz_ea/(2*PI())</f>
        <v>106.10329539459688</v>
      </c>
      <c r="P12" s="181" t="str">
        <f t="shared" si="28"/>
        <v>87</v>
      </c>
      <c r="Q12" s="182" t="str">
        <f t="shared" si="29"/>
        <v>1+5.00000000000002i</v>
      </c>
      <c r="R12" s="182">
        <f t="shared" si="0"/>
        <v>5.0990195135928049</v>
      </c>
      <c r="S12" s="182">
        <f t="shared" si="1"/>
        <v>1.3734007669450166</v>
      </c>
      <c r="T12" s="182" t="str">
        <f t="shared" si="30"/>
        <v>1+0.00333333333333333i</v>
      </c>
      <c r="U12" s="182">
        <f t="shared" si="2"/>
        <v>1.0000055555401235</v>
      </c>
      <c r="V12" s="182">
        <f t="shared" si="3"/>
        <v>3.3333209877366215E-3</v>
      </c>
      <c r="W12" s="183" t="str">
        <f t="shared" si="31"/>
        <v>1-0.000472222222222223i</v>
      </c>
      <c r="X12" s="182">
        <f t="shared" si="4"/>
        <v>1.0000001114969075</v>
      </c>
      <c r="Y12" s="182">
        <f t="shared" si="5"/>
        <v>-4.722221871213475E-4</v>
      </c>
      <c r="Z12" s="183" t="str">
        <f t="shared" si="6"/>
        <v>0.999999919943756+0.000992000000000001i</v>
      </c>
      <c r="AA12" s="182">
        <f t="shared" si="7"/>
        <v>1.0000004119756742</v>
      </c>
      <c r="AB12" s="182">
        <f t="shared" si="8"/>
        <v>9.9199975401875252E-4</v>
      </c>
      <c r="AC12" s="184" t="str">
        <f t="shared" si="9"/>
        <v>3.3774371963603-16.7245736048959i</v>
      </c>
      <c r="AD12" s="185">
        <f t="shared" si="10"/>
        <v>24.640697217413798</v>
      </c>
      <c r="AE12" s="186">
        <f t="shared" si="11"/>
        <v>-78.582976039117966</v>
      </c>
      <c r="AF12" s="183" t="str">
        <f t="shared" si="12"/>
        <v>-0.0000673063927557778</v>
      </c>
      <c r="AG12" s="183" t="str">
        <f t="shared" si="13"/>
        <v>0.000006712i</v>
      </c>
      <c r="AH12" s="183">
        <f t="shared" si="14"/>
        <v>6.7120000000000003E-6</v>
      </c>
      <c r="AI12" s="183">
        <f t="shared" si="15"/>
        <v>1.5707963267948966</v>
      </c>
      <c r="AJ12" s="183" t="str">
        <f t="shared" si="16"/>
        <v>1+0.00675407230830354i</v>
      </c>
      <c r="AK12" s="183">
        <f t="shared" si="17"/>
        <v>1.0000228084862595</v>
      </c>
      <c r="AL12" s="183">
        <f t="shared" si="18"/>
        <v>6.7539696098329232E-3</v>
      </c>
      <c r="AM12" s="183" t="str">
        <f t="shared" si="19"/>
        <v>1+i</v>
      </c>
      <c r="AN12" s="183">
        <f t="shared" si="20"/>
        <v>1.4142135623730951</v>
      </c>
      <c r="AO12" s="183">
        <f t="shared" si="21"/>
        <v>0.78539816339744828</v>
      </c>
      <c r="AP12" s="179" t="str">
        <f t="shared" si="22"/>
        <v>-9.95958746124532+10.0950378507182i</v>
      </c>
      <c r="AQ12" s="183">
        <f t="shared" si="23"/>
        <v>23.03418919925242</v>
      </c>
      <c r="AR12" s="186">
        <f t="shared" si="24"/>
        <v>134.61302604639712</v>
      </c>
      <c r="AS12" s="179" t="str">
        <f t="shared" si="25"/>
        <v>135.197322426533+200.665209905676i</v>
      </c>
      <c r="AT12" s="185">
        <f t="shared" si="26"/>
        <v>47.674886416666205</v>
      </c>
      <c r="AU12" s="186">
        <f t="shared" si="27"/>
        <v>56.030050007279108</v>
      </c>
      <c r="AV12" s="225"/>
      <c r="AX12" t="s">
        <v>538</v>
      </c>
      <c r="AY12">
        <f>SUM(AX19:AX559)/1000</f>
        <v>14.454397707459291</v>
      </c>
    </row>
    <row r="13" spans="1:51" ht="15.75" thickBot="1" x14ac:dyDescent="0.3">
      <c r="A13" s="98" t="s">
        <v>68</v>
      </c>
      <c r="B13" s="187">
        <f>Fsw</f>
        <v>750000</v>
      </c>
      <c r="C13" s="98" t="s">
        <v>69</v>
      </c>
      <c r="E13" s="98" t="s">
        <v>70</v>
      </c>
      <c r="N13" s="191" t="s">
        <v>269</v>
      </c>
      <c r="O13" s="198">
        <f>wp1_ea/(2*PI())</f>
        <v>15709.529088717669</v>
      </c>
      <c r="P13" s="193" t="str">
        <f t="shared" si="28"/>
        <v>87</v>
      </c>
      <c r="Q13" s="194" t="str">
        <f t="shared" si="29"/>
        <v>1+740.294117647061i</v>
      </c>
      <c r="R13" s="194">
        <f t="shared" si="0"/>
        <v>740.29479305398365</v>
      </c>
      <c r="S13" s="194">
        <f t="shared" si="1"/>
        <v>1.5694455131548453</v>
      </c>
      <c r="T13" s="194" t="str">
        <f t="shared" si="30"/>
        <v>1+0.493529411764706i</v>
      </c>
      <c r="U13" s="194">
        <f t="shared" si="2"/>
        <v>1.1151552718239808</v>
      </c>
      <c r="V13" s="194">
        <f t="shared" si="3"/>
        <v>0.45845775231782565</v>
      </c>
      <c r="W13" s="195" t="str">
        <f t="shared" si="31"/>
        <v>1-0.0699166666666668i</v>
      </c>
      <c r="X13" s="194">
        <f t="shared" si="4"/>
        <v>1.0024411904335224</v>
      </c>
      <c r="Y13" s="194">
        <f t="shared" si="5"/>
        <v>-6.9803074162370859E-2</v>
      </c>
      <c r="Z13" s="195" t="str">
        <f t="shared" si="6"/>
        <v>0.998245053836876+0.146874352941177i</v>
      </c>
      <c r="AA13" s="194">
        <f t="shared" si="7"/>
        <v>1.0089922016852644</v>
      </c>
      <c r="AB13" s="194">
        <f t="shared" si="8"/>
        <v>0.14608443513607799</v>
      </c>
      <c r="AC13" s="196" t="str">
        <f t="shared" si="9"/>
        <v>0.0314452564948859-0.126348792096567i</v>
      </c>
      <c r="AD13" s="197">
        <f t="shared" si="10"/>
        <v>-17.70758012782818</v>
      </c>
      <c r="AE13" s="198">
        <f t="shared" si="11"/>
        <v>-76.024352919043338</v>
      </c>
      <c r="AF13" s="195" t="str">
        <f t="shared" si="12"/>
        <v>-0.0000673063927557778</v>
      </c>
      <c r="AG13" s="195" t="str">
        <f t="shared" si="13"/>
        <v>0.000993770823529412i</v>
      </c>
      <c r="AH13" s="195">
        <f t="shared" si="14"/>
        <v>9.9377082352941192E-4</v>
      </c>
      <c r="AI13" s="195">
        <f t="shared" si="15"/>
        <v>1.5707963267948966</v>
      </c>
      <c r="AJ13" s="195" t="str">
        <f t="shared" si="16"/>
        <v>1+i</v>
      </c>
      <c r="AK13" s="195">
        <f t="shared" si="17"/>
        <v>1.4142135623730951</v>
      </c>
      <c r="AL13" s="195">
        <f t="shared" si="18"/>
        <v>0.78539816339744828</v>
      </c>
      <c r="AM13" s="195" t="str">
        <f t="shared" si="19"/>
        <v>1+148.058823529412i</v>
      </c>
      <c r="AN13" s="195">
        <f t="shared" si="20"/>
        <v>148.06220052705405</v>
      </c>
      <c r="AO13" s="195">
        <f t="shared" si="21"/>
        <v>1.5640423571850637</v>
      </c>
      <c r="AP13" s="191" t="str">
        <f t="shared" si="22"/>
        <v>-4.98002089632705+5.0477491805171i</v>
      </c>
      <c r="AQ13" s="195">
        <f t="shared" si="23"/>
        <v>17.013985505443191</v>
      </c>
      <c r="AR13" s="198">
        <f t="shared" si="24"/>
        <v>134.61302604639695</v>
      </c>
      <c r="AS13" s="191" t="str">
        <f t="shared" si="25"/>
        <v>0.481178977329876+0.787947392569796i</v>
      </c>
      <c r="AT13" s="197">
        <f t="shared" si="26"/>
        <v>-0.6935946223849877</v>
      </c>
      <c r="AU13" s="198">
        <f t="shared" si="27"/>
        <v>58.588673127353594</v>
      </c>
      <c r="AV13" s="225"/>
      <c r="AX13"/>
      <c r="AY13"/>
    </row>
    <row r="14" spans="1:51" x14ac:dyDescent="0.25">
      <c r="A14" s="98" t="s">
        <v>563</v>
      </c>
      <c r="B14" s="98" t="s">
        <v>495</v>
      </c>
      <c r="E14" s="98" t="s">
        <v>564</v>
      </c>
      <c r="AX14" t="s">
        <v>539</v>
      </c>
      <c r="AY14" s="23">
        <f>SUM(AY19:AY559)</f>
        <v>60.080562410244148</v>
      </c>
    </row>
    <row r="15" spans="1:51" ht="15.75" thickBot="1" x14ac:dyDescent="0.3">
      <c r="O15" s="199" t="s">
        <v>231</v>
      </c>
      <c r="P15" s="98">
        <f>B17</f>
        <v>24</v>
      </c>
      <c r="Q15" s="98" t="s">
        <v>10</v>
      </c>
    </row>
    <row r="16" spans="1:51" ht="15.75" thickBot="1" x14ac:dyDescent="0.3">
      <c r="A16" s="200" t="s">
        <v>262</v>
      </c>
      <c r="O16" s="201"/>
      <c r="P16" s="241" t="s">
        <v>260</v>
      </c>
      <c r="Q16" s="241"/>
      <c r="R16" s="241"/>
      <c r="S16" s="241"/>
      <c r="T16" s="241"/>
      <c r="U16" s="241"/>
      <c r="V16" s="241"/>
      <c r="W16" s="241"/>
      <c r="X16" s="241"/>
      <c r="Y16" s="241"/>
      <c r="Z16" s="241"/>
      <c r="AA16" s="241"/>
      <c r="AB16" s="241"/>
      <c r="AC16" s="241"/>
      <c r="AD16" s="241"/>
      <c r="AE16" s="242"/>
      <c r="AF16" s="243" t="s">
        <v>261</v>
      </c>
      <c r="AG16" s="241"/>
      <c r="AH16" s="241"/>
      <c r="AI16" s="241"/>
      <c r="AJ16" s="241"/>
      <c r="AK16" s="241"/>
      <c r="AL16" s="241"/>
      <c r="AM16" s="241"/>
      <c r="AN16" s="241"/>
      <c r="AO16" s="241"/>
      <c r="AP16" s="241"/>
      <c r="AQ16" s="241"/>
      <c r="AR16" s="242"/>
      <c r="AS16" s="243" t="s">
        <v>272</v>
      </c>
      <c r="AT16" s="241"/>
      <c r="AU16" s="242"/>
    </row>
    <row r="17" spans="1:51" x14ac:dyDescent="0.25">
      <c r="A17" s="98" t="s">
        <v>233</v>
      </c>
      <c r="B17" s="98">
        <f>VIN_var</f>
        <v>24</v>
      </c>
      <c r="C17" s="98" t="s">
        <v>10</v>
      </c>
      <c r="E17" s="98" t="s">
        <v>234</v>
      </c>
      <c r="O17" s="202"/>
      <c r="Q17" s="239" t="s">
        <v>252</v>
      </c>
      <c r="R17" s="239"/>
      <c r="S17" s="239"/>
      <c r="T17" s="240" t="s">
        <v>254</v>
      </c>
      <c r="U17" s="240"/>
      <c r="V17" s="240"/>
      <c r="W17" s="240" t="s">
        <v>253</v>
      </c>
      <c r="X17" s="240"/>
      <c r="Y17" s="240"/>
      <c r="Z17" s="240" t="s">
        <v>257</v>
      </c>
      <c r="AA17" s="240"/>
      <c r="AB17" s="240"/>
      <c r="AC17" s="244" t="s">
        <v>259</v>
      </c>
      <c r="AD17" s="240"/>
      <c r="AE17" s="245"/>
      <c r="AG17" s="240" t="s">
        <v>268</v>
      </c>
      <c r="AH17" s="240"/>
      <c r="AI17" s="240"/>
      <c r="AJ17" s="240" t="s">
        <v>269</v>
      </c>
      <c r="AK17" s="240"/>
      <c r="AL17" s="240"/>
      <c r="AM17" s="240" t="s">
        <v>263</v>
      </c>
      <c r="AN17" s="240"/>
      <c r="AO17" s="240"/>
      <c r="AP17" s="244" t="s">
        <v>259</v>
      </c>
      <c r="AQ17" s="240"/>
      <c r="AR17" s="245"/>
      <c r="AS17" s="244" t="s">
        <v>259</v>
      </c>
      <c r="AT17" s="240"/>
      <c r="AU17" s="245"/>
      <c r="AV17" s="223"/>
    </row>
    <row r="18" spans="1:51" ht="15.75" thickBot="1" x14ac:dyDescent="0.3">
      <c r="A18" s="98" t="s">
        <v>450</v>
      </c>
      <c r="C18" s="98" t="s">
        <v>11</v>
      </c>
      <c r="E18" s="98" t="s">
        <v>451</v>
      </c>
      <c r="N18" s="170"/>
      <c r="O18" s="203" t="s">
        <v>230</v>
      </c>
      <c r="P18" s="194" t="s">
        <v>235</v>
      </c>
      <c r="Q18" s="195" t="s">
        <v>258</v>
      </c>
      <c r="R18" s="194" t="s">
        <v>255</v>
      </c>
      <c r="S18" s="194" t="s">
        <v>256</v>
      </c>
      <c r="T18" s="194" t="s">
        <v>258</v>
      </c>
      <c r="U18" s="194" t="s">
        <v>255</v>
      </c>
      <c r="V18" s="194" t="s">
        <v>256</v>
      </c>
      <c r="W18" s="194" t="s">
        <v>258</v>
      </c>
      <c r="X18" s="194" t="s">
        <v>255</v>
      </c>
      <c r="Y18" s="194" t="s">
        <v>256</v>
      </c>
      <c r="Z18" s="194" t="s">
        <v>258</v>
      </c>
      <c r="AA18" s="194" t="s">
        <v>255</v>
      </c>
      <c r="AB18" s="194" t="s">
        <v>256</v>
      </c>
      <c r="AC18" s="196" t="s">
        <v>273</v>
      </c>
      <c r="AD18" s="194" t="s">
        <v>255</v>
      </c>
      <c r="AE18" s="204" t="s">
        <v>256</v>
      </c>
      <c r="AF18" s="194" t="s">
        <v>270</v>
      </c>
      <c r="AG18" s="194" t="s">
        <v>258</v>
      </c>
      <c r="AH18" s="194" t="s">
        <v>271</v>
      </c>
      <c r="AI18" s="194" t="s">
        <v>256</v>
      </c>
      <c r="AJ18" s="194" t="s">
        <v>258</v>
      </c>
      <c r="AK18" s="194" t="s">
        <v>271</v>
      </c>
      <c r="AL18" s="194" t="s">
        <v>256</v>
      </c>
      <c r="AM18" s="194" t="s">
        <v>258</v>
      </c>
      <c r="AN18" s="194" t="s">
        <v>271</v>
      </c>
      <c r="AO18" s="194" t="s">
        <v>256</v>
      </c>
      <c r="AP18" s="196" t="s">
        <v>273</v>
      </c>
      <c r="AQ18" s="194" t="s">
        <v>255</v>
      </c>
      <c r="AR18" s="204" t="s">
        <v>256</v>
      </c>
      <c r="AS18" s="196" t="s">
        <v>273</v>
      </c>
      <c r="AT18" s="194" t="s">
        <v>255</v>
      </c>
      <c r="AU18" s="204" t="s">
        <v>256</v>
      </c>
      <c r="AV18" s="225"/>
      <c r="AX18" s="98" t="s">
        <v>535</v>
      </c>
      <c r="AY18" s="98" t="s">
        <v>536</v>
      </c>
    </row>
    <row r="19" spans="1:51" x14ac:dyDescent="0.25">
      <c r="N19" s="170">
        <v>1</v>
      </c>
      <c r="O19" s="199">
        <f>10^(1+(N19/100))</f>
        <v>10.232929922807543</v>
      </c>
      <c r="P19" s="189" t="str">
        <f t="shared" ref="P19:P82" si="32">COMPLEX(Adc,0)</f>
        <v>87</v>
      </c>
      <c r="Q19" s="160" t="str">
        <f t="shared" ref="Q19:Q82" si="33">IMSUM(COMPLEX(1,0),IMDIV(COMPLEX(0,2*PI()*O19),COMPLEX(wp_lf,0)))</f>
        <v>1+0.482215462052872i</v>
      </c>
      <c r="R19" s="160">
        <f>IMABS(Q19)</f>
        <v>1.1101944657774443</v>
      </c>
      <c r="S19" s="160">
        <f>IMARGUMENT(Q19)</f>
        <v>0.44931902141669694</v>
      </c>
      <c r="T19" s="160" t="str">
        <f t="shared" ref="T19:T82" si="34">IMSUM(COMPLEX(1,0),IMDIV(COMPLEX(0,2*PI()*O19),COMPLEX(wz_esr,0)))</f>
        <v>1+0.000321476974701914i</v>
      </c>
      <c r="U19" s="160">
        <f>IMABS(T19)</f>
        <v>1.0000000516737213</v>
      </c>
      <c r="V19" s="160">
        <f>IMARGUMENT(T19)</f>
        <v>3.214769636273067E-4</v>
      </c>
      <c r="W19" s="98" t="str">
        <f t="shared" ref="W19:W82" si="35">IMSUB(COMPLEX(1,0),IMDIV(COMPLEX(0,2*PI()*O19),COMPLEX(wz_rhp,0)))</f>
        <v>1-0.0000455425714161045i</v>
      </c>
      <c r="X19" s="160">
        <f>IMABS(W19)</f>
        <v>1.0000000010370629</v>
      </c>
      <c r="Y19" s="160">
        <f>IMARGUMENT(W19)</f>
        <v>-4.5542571384617496E-5</v>
      </c>
      <c r="Z19" s="98" t="str">
        <f t="shared" ref="Z19:Z82" si="36">IF(Dc_Mode_Loop="CCM",IMSUM(COMPLEX(1,0),IMDIV(COMPLEX(0,2*PI()*O19),COMPLEX(Q*(wsl/2),0)),IMDIV(IMPOWER(COMPLEX(0,2*PI()*O19),2),IMPOWER(COMPLEX(wsl/2,0),2))),COMPLEX(1,0))</f>
        <v>0.999999999255375+0.0000956715476712895i</v>
      </c>
      <c r="AA19" s="160">
        <f>IMABS(Z19)</f>
        <v>1.0000000038318975</v>
      </c>
      <c r="AB19" s="160">
        <f>IMARGUMENT(Z19)</f>
        <v>9.5671547450633599E-5</v>
      </c>
      <c r="AC19" s="171" t="str">
        <f>(IMDIV(IMPRODUCT(P19,T19,W19),IMPRODUCT(Q19,Z19)))</f>
        <v>70.5925549020351-34.0251386113991i</v>
      </c>
      <c r="AD19" s="190">
        <f>20*LOG(IMABS(AC19))</f>
        <v>37.882404315306289</v>
      </c>
      <c r="AE19" s="169">
        <f>(180/PI())*IMARGUMENT(AC19)</f>
        <v>-25.733755281915403</v>
      </c>
      <c r="AF19" s="98" t="str">
        <f t="shared" ref="AF19:AF82" si="37">COMPLEX(Adc_ea,0)</f>
        <v>-0.0000673063927557778</v>
      </c>
      <c r="AG19" s="98" t="str">
        <f t="shared" ref="AG19:AG82" si="38">COMPLEX(0,2*PI()*O19*wp0_ea)</f>
        <v>6.47326036259773E-07i</v>
      </c>
      <c r="AH19" s="98">
        <f>IMABS(AG19)</f>
        <v>6.4732603625977297E-7</v>
      </c>
      <c r="AI19" s="98">
        <f>IMARGUMENT(AG19)</f>
        <v>1.5707963267948966</v>
      </c>
      <c r="AJ19" s="98" t="str">
        <f t="shared" ref="AJ19:AJ82" si="39">IMSUM(COMPLEX(1,0),IMDIV(COMPLEX(0,2*PI()*O19),COMPLEX(wp1_ea,0)))</f>
        <v>1+0.000651383619777417i</v>
      </c>
      <c r="AK19" s="98">
        <f>IMABS(AJ19)</f>
        <v>1.0000002121502876</v>
      </c>
      <c r="AL19" s="98">
        <f>IMARGUMENT(AJ19)</f>
        <v>6.5138352764994919E-4</v>
      </c>
      <c r="AM19" s="98" t="str">
        <f t="shared" ref="AM19:AM82" si="40">IMSUM(COMPLEX(1,0),IMDIV(COMPLEX(0,2*PI()*O19),COMPLEX(wz_ea,0)))</f>
        <v>1+0.096443092410574i</v>
      </c>
      <c r="AN19" s="98">
        <f>IMABS(AM19)</f>
        <v>1.004639870836169</v>
      </c>
      <c r="AO19" s="98">
        <f>IMARGUMENT(AM19)</f>
        <v>9.6145735715422592E-2</v>
      </c>
      <c r="AP19" s="168" t="str">
        <f>IMPRODUCT(AF19,IMDIV(AM19,IMPRODUCT(AG19,AJ19)))</f>
        <v>-9.96003756660395+103.982519952388i</v>
      </c>
      <c r="AQ19" s="98">
        <f>20*LOG(IMABS(AP19))</f>
        <v>40.378871158922351</v>
      </c>
      <c r="AR19" s="169">
        <f>(180/PI())*IMARGUMENT(AP19)</f>
        <v>95.471423347695222</v>
      </c>
      <c r="AS19" s="168" t="str">
        <f>IMPRODUCT(AC19,AP19)</f>
        <v>2834.91515579575+7679.28340736935i</v>
      </c>
      <c r="AT19" s="190">
        <f>20*LOG(IMABS(AS19))</f>
        <v>78.261275474228626</v>
      </c>
      <c r="AU19" s="169">
        <f>(180/PI())*IMARGUMENT(AS19)</f>
        <v>69.737668065779829</v>
      </c>
      <c r="AV19" s="225"/>
      <c r="AX19">
        <f>SUM((AT20&lt;0)*(AT19&gt;0))*O19</f>
        <v>0</v>
      </c>
      <c r="AY19">
        <f>IF(AX19&gt;0,AU19,0)</f>
        <v>0</v>
      </c>
    </row>
    <row r="20" spans="1:51" x14ac:dyDescent="0.25">
      <c r="A20" s="98" t="s">
        <v>31</v>
      </c>
      <c r="B20" s="205">
        <f>VOUT</f>
        <v>30</v>
      </c>
      <c r="C20" s="98" t="s">
        <v>10</v>
      </c>
      <c r="E20" s="98" t="s">
        <v>206</v>
      </c>
      <c r="N20" s="170">
        <v>2</v>
      </c>
      <c r="O20" s="199">
        <f t="shared" ref="O20:O83" si="41">10^(1+(N20/100))</f>
        <v>10.471285480509</v>
      </c>
      <c r="P20" s="189" t="str">
        <f t="shared" si="32"/>
        <v>87</v>
      </c>
      <c r="Q20" s="160" t="str">
        <f t="shared" si="33"/>
        <v>1+0.493447703088129i</v>
      </c>
      <c r="R20" s="160">
        <f t="shared" ref="R20:R83" si="42">IMABS(Q20)</f>
        <v>1.1151191127780702</v>
      </c>
      <c r="S20" s="160">
        <f t="shared" ref="S20:S83" si="43">IMARGUMENT(Q20)</f>
        <v>0.45839204532745731</v>
      </c>
      <c r="T20" s="160" t="str">
        <f t="shared" si="34"/>
        <v>1+0.000328965135392085i</v>
      </c>
      <c r="U20" s="160">
        <f t="shared" ref="U20:U83" si="44">IMABS(T20)</f>
        <v>1.0000000541090286</v>
      </c>
      <c r="V20" s="160">
        <f t="shared" ref="V20:V83" si="45">IMARGUMENT(T20)</f>
        <v>3.2896512352542949E-4</v>
      </c>
      <c r="W20" s="98" t="str">
        <f t="shared" si="35"/>
        <v>1-0.0000466033941805455i</v>
      </c>
      <c r="X20" s="160">
        <f t="shared" ref="X20:X83" si="46">IMABS(W20)</f>
        <v>1.0000000010859382</v>
      </c>
      <c r="Y20" s="160">
        <f t="shared" ref="Y20:Y83" si="47">IMARGUMENT(W20)</f>
        <v>-4.6603394146806563E-5</v>
      </c>
      <c r="Z20" s="98" t="str">
        <f t="shared" si="36"/>
        <v>0.999999999220282+0.0000979000242926847i</v>
      </c>
      <c r="AA20" s="160">
        <f t="shared" ref="AA20:AA83" si="48">IMABS(Z20)</f>
        <v>1.0000000040124892</v>
      </c>
      <c r="AB20" s="160">
        <f t="shared" ref="AB20:AB83" si="49">IMARGUMENT(Z20)</f>
        <v>9.790002405624763E-5</v>
      </c>
      <c r="AC20" s="171" t="str">
        <f t="shared" ref="AC20:AC83" si="50">(IMDIV(IMPRODUCT(P20,T20,W20),IMPRODUCT(Q20,Z20)))</f>
        <v>69.9707093951138-34.5108376653725i</v>
      </c>
      <c r="AD20" s="190">
        <f t="shared" ref="AD20:AD83" si="51">20*LOG(IMABS(AC20))</f>
        <v>37.84396030603726</v>
      </c>
      <c r="AE20" s="169">
        <f t="shared" ref="AE20:AE83" si="52">(180/PI())*IMARGUMENT(AC20)</f>
        <v>-26.253360682436107</v>
      </c>
      <c r="AF20" s="98" t="str">
        <f t="shared" si="37"/>
        <v>-0.0000673063927557778</v>
      </c>
      <c r="AG20" s="98" t="str">
        <f t="shared" si="38"/>
        <v>6.62404196625503E-07i</v>
      </c>
      <c r="AH20" s="98">
        <f t="shared" ref="AH20:AH83" si="53">IMABS(AG20)</f>
        <v>6.62404196625503E-7</v>
      </c>
      <c r="AI20" s="98">
        <f t="shared" ref="AI20:AI83" si="54">IMARGUMENT(AG20)</f>
        <v>1.5707963267948966</v>
      </c>
      <c r="AJ20" s="98" t="str">
        <f t="shared" si="39"/>
        <v>1+0.000666556293404702i</v>
      </c>
      <c r="AK20" s="98">
        <f t="shared" ref="AK20:AK83" si="55">IMABS(AJ20)</f>
        <v>1.0000002221486215</v>
      </c>
      <c r="AL20" s="98">
        <f t="shared" ref="AL20:AL83" si="56">IMARGUMENT(AJ20)</f>
        <v>6.6655619468834293E-4</v>
      </c>
      <c r="AM20" s="98" t="str">
        <f t="shared" si="40"/>
        <v>1+0.0986895406176256i</v>
      </c>
      <c r="AN20" s="98">
        <f t="shared" ref="AN20:AN83" si="57">IMABS(AM20)</f>
        <v>1.0048580125705908</v>
      </c>
      <c r="AO20" s="98">
        <f t="shared" ref="AO20:AO83" si="58">IMARGUMENT(AM20)</f>
        <v>9.8371000314072907E-2</v>
      </c>
      <c r="AP20" s="168" t="str">
        <f t="shared" ref="AP20:AP83" si="59">IMPRODUCT(AF20,IMDIV(AM20,IMPRODUCT(AG20,AJ20)))</f>
        <v>-9.96003736743646+101.615887626999i</v>
      </c>
      <c r="AQ20" s="98">
        <f t="shared" ref="AQ20:AQ83" si="60">20*LOG(IMABS(AP20))</f>
        <v>40.180756871564171</v>
      </c>
      <c r="AR20" s="169">
        <f t="shared" ref="AR20:AR83" si="61">(180/PI())*IMARGUMENT(AP20)</f>
        <v>95.59805228771252</v>
      </c>
      <c r="AS20" s="168" t="str">
        <f t="shared" ref="AS20:AS83" si="62">IMPRODUCT(AC20,AP20)</f>
        <v>2809.93852191673+7453.86497580393i</v>
      </c>
      <c r="AT20" s="190">
        <f t="shared" ref="AT20:AT83" si="63">20*LOG(IMABS(AS20))</f>
        <v>78.024717177601431</v>
      </c>
      <c r="AU20" s="169">
        <f t="shared" ref="AU20:AU83" si="64">(180/PI())*IMARGUMENT(AS20)</f>
        <v>69.344691605276395</v>
      </c>
      <c r="AV20" s="225"/>
      <c r="AX20">
        <f t="shared" ref="AX20:AX83" si="65">SUM((AT21&lt;0)*(AT20&gt;0))*O20</f>
        <v>0</v>
      </c>
      <c r="AY20">
        <f t="shared" ref="AY20:AY83" si="66">IF(AX20&gt;0,AU20,0)</f>
        <v>0</v>
      </c>
    </row>
    <row r="21" spans="1:51" x14ac:dyDescent="0.25">
      <c r="A21" s="98" t="s">
        <v>33</v>
      </c>
      <c r="B21" s="205">
        <f>IOUT</f>
        <v>2</v>
      </c>
      <c r="C21" s="98" t="s">
        <v>11</v>
      </c>
      <c r="E21" s="98" t="s">
        <v>34</v>
      </c>
      <c r="N21" s="170">
        <v>3</v>
      </c>
      <c r="O21" s="199">
        <f t="shared" si="41"/>
        <v>10.715193052376069</v>
      </c>
      <c r="P21" s="189" t="str">
        <f t="shared" si="32"/>
        <v>87</v>
      </c>
      <c r="Q21" s="160" t="str">
        <f t="shared" si="33"/>
        <v>1+0.504941576627117i</v>
      </c>
      <c r="R21" s="160">
        <f t="shared" si="42"/>
        <v>1.1202526482033768</v>
      </c>
      <c r="S21" s="160">
        <f t="shared" si="43"/>
        <v>0.46759305110784682</v>
      </c>
      <c r="T21" s="160" t="str">
        <f t="shared" si="34"/>
        <v>1+0.000336627717751411i</v>
      </c>
      <c r="U21" s="160">
        <f t="shared" si="44"/>
        <v>1.0000000566591085</v>
      </c>
      <c r="V21" s="160">
        <f t="shared" si="45"/>
        <v>3.3662770503606055E-4</v>
      </c>
      <c r="W21" s="98" t="str">
        <f t="shared" si="35"/>
        <v>1-0.0000476889266814499i</v>
      </c>
      <c r="X21" s="160">
        <f t="shared" si="46"/>
        <v>1.0000000011371168</v>
      </c>
      <c r="Y21" s="160">
        <f t="shared" si="47"/>
        <v>-4.7688926645297978E-5</v>
      </c>
      <c r="Z21" s="98" t="str">
        <f t="shared" si="36"/>
        <v>0.999999999183535+0.00010018040880282i</v>
      </c>
      <c r="AA21" s="160">
        <f t="shared" si="48"/>
        <v>1.000000004201592</v>
      </c>
      <c r="AB21" s="160">
        <f t="shared" si="49"/>
        <v>1.0018040854947312E-4</v>
      </c>
      <c r="AC21" s="171" t="str">
        <f t="shared" si="50"/>
        <v>69.3311974535684-34.991782172692i</v>
      </c>
      <c r="AD21" s="190">
        <f t="shared" si="51"/>
        <v>37.804065933293302</v>
      </c>
      <c r="AE21" s="169">
        <f t="shared" si="52"/>
        <v>-26.780293300184962</v>
      </c>
      <c r="AF21" s="98" t="str">
        <f t="shared" si="37"/>
        <v>-0.0000673063927557778</v>
      </c>
      <c r="AG21" s="98" t="str">
        <f t="shared" si="38"/>
        <v>6.7783357246424E-07i</v>
      </c>
      <c r="AH21" s="98">
        <f t="shared" si="53"/>
        <v>6.7783357246424003E-7</v>
      </c>
      <c r="AI21" s="98">
        <f t="shared" si="54"/>
        <v>1.5707963267948966</v>
      </c>
      <c r="AJ21" s="98" t="str">
        <f t="shared" si="39"/>
        <v>1+0.000682082384001666i</v>
      </c>
      <c r="AK21" s="98">
        <f t="shared" si="55"/>
        <v>1.0000002326181623</v>
      </c>
      <c r="AL21" s="98">
        <f t="shared" si="56"/>
        <v>6.8208227822518278E-4</v>
      </c>
      <c r="AM21" s="98" t="str">
        <f t="shared" si="40"/>
        <v>1+0.100988315325423i</v>
      </c>
      <c r="AN21" s="98">
        <f t="shared" si="57"/>
        <v>1.0050863842636946</v>
      </c>
      <c r="AO21" s="98">
        <f t="shared" si="58"/>
        <v>0.10064708646137184</v>
      </c>
      <c r="AP21" s="168" t="str">
        <f t="shared" si="59"/>
        <v>-9.96003715888242+99.3031333902629i</v>
      </c>
      <c r="AQ21" s="98">
        <f t="shared" si="60"/>
        <v>39.982730577846787</v>
      </c>
      <c r="AR21" s="169">
        <f t="shared" si="61"/>
        <v>95.727572838701903</v>
      </c>
      <c r="AS21" s="168" t="str">
        <f t="shared" si="62"/>
        <v>2784.2523097505+7233.32459953389i</v>
      </c>
      <c r="AT21" s="190">
        <f t="shared" si="63"/>
        <v>77.786796511140082</v>
      </c>
      <c r="AU21" s="169">
        <f t="shared" si="64"/>
        <v>68.947279538516952</v>
      </c>
      <c r="AV21" s="225"/>
      <c r="AX21">
        <f t="shared" si="65"/>
        <v>0</v>
      </c>
      <c r="AY21">
        <f t="shared" si="66"/>
        <v>0</v>
      </c>
    </row>
    <row r="22" spans="1:51" x14ac:dyDescent="0.25">
      <c r="N22" s="170">
        <v>4</v>
      </c>
      <c r="O22" s="199">
        <f t="shared" si="41"/>
        <v>10.964781961431854</v>
      </c>
      <c r="P22" s="189" t="str">
        <f t="shared" si="32"/>
        <v>87</v>
      </c>
      <c r="Q22" s="160" t="str">
        <f t="shared" si="33"/>
        <v>1+0.516703176873724i</v>
      </c>
      <c r="R22" s="160">
        <f t="shared" si="42"/>
        <v>1.1256030263780383</v>
      </c>
      <c r="S22" s="160">
        <f t="shared" si="43"/>
        <v>0.47692068476451133</v>
      </c>
      <c r="T22" s="160" t="str">
        <f t="shared" si="34"/>
        <v>1+0.000344468784582482i</v>
      </c>
      <c r="U22" s="160">
        <f t="shared" si="44"/>
        <v>1.0000000593293701</v>
      </c>
      <c r="V22" s="160">
        <f t="shared" si="45"/>
        <v>3.4446877095773858E-4</v>
      </c>
      <c r="W22" s="98" t="str">
        <f t="shared" si="35"/>
        <v>1-0.0000487997444825184i</v>
      </c>
      <c r="X22" s="160">
        <f t="shared" si="46"/>
        <v>1.0000000011907075</v>
      </c>
      <c r="Y22" s="160">
        <f t="shared" si="47"/>
        <v>-4.8799744443780917E-5</v>
      </c>
      <c r="Z22" s="98" t="str">
        <f t="shared" si="36"/>
        <v>0.999999999145056+0.000102513910291747i</v>
      </c>
      <c r="AA22" s="160">
        <f t="shared" si="48"/>
        <v>1.0000000043996067</v>
      </c>
      <c r="AB22" s="160">
        <f t="shared" si="49"/>
        <v>1.0251391002028095E-4</v>
      </c>
      <c r="AC22" s="171" t="str">
        <f t="shared" si="50"/>
        <v>68.6739624682862-35.4672500798968i</v>
      </c>
      <c r="AD22" s="190">
        <f t="shared" si="51"/>
        <v>37.762680497749734</v>
      </c>
      <c r="AE22" s="169">
        <f t="shared" si="52"/>
        <v>-27.31447542652921</v>
      </c>
      <c r="AF22" s="98" t="str">
        <f t="shared" si="37"/>
        <v>-0.0000673063927557778</v>
      </c>
      <c r="AG22" s="98" t="str">
        <f t="shared" si="38"/>
        <v>6.93622344635286E-07i</v>
      </c>
      <c r="AH22" s="98">
        <f t="shared" si="53"/>
        <v>6.9362234463528601E-7</v>
      </c>
      <c r="AI22" s="98">
        <f t="shared" si="54"/>
        <v>1.5707963267948966</v>
      </c>
      <c r="AJ22" s="98" t="str">
        <f t="shared" si="39"/>
        <v>1+0.000697970123707055i</v>
      </c>
      <c r="AK22" s="98">
        <f t="shared" si="55"/>
        <v>1.0000002435811171</v>
      </c>
      <c r="AL22" s="98">
        <f t="shared" si="56"/>
        <v>6.9797001036551272E-4</v>
      </c>
      <c r="AM22" s="98" t="str">
        <f t="shared" si="40"/>
        <v>1+0.103340635374745i</v>
      </c>
      <c r="AN22" s="98">
        <f t="shared" si="57"/>
        <v>1.0053254631807831</v>
      </c>
      <c r="AO22" s="98">
        <f t="shared" si="58"/>
        <v>0.10297510658521991</v>
      </c>
      <c r="AP22" s="168" t="str">
        <f t="shared" si="59"/>
        <v>-9.96003694049969+97.0430309892696i</v>
      </c>
      <c r="AQ22" s="98">
        <f t="shared" si="60"/>
        <v>39.784796341020986</v>
      </c>
      <c r="AR22" s="169">
        <f t="shared" si="61"/>
        <v>95.86004826642224</v>
      </c>
      <c r="AS22" s="168" t="str">
        <f t="shared" si="62"/>
        <v>2757.85424557298+7017.58458893955i</v>
      </c>
      <c r="AT22" s="190">
        <f t="shared" si="63"/>
        <v>77.54747683877072</v>
      </c>
      <c r="AU22" s="169">
        <f t="shared" si="64"/>
        <v>68.545572839893055</v>
      </c>
      <c r="AV22" s="225"/>
      <c r="AX22">
        <f t="shared" si="65"/>
        <v>0</v>
      </c>
      <c r="AY22">
        <f t="shared" si="66"/>
        <v>0</v>
      </c>
    </row>
    <row r="23" spans="1:51" x14ac:dyDescent="0.25">
      <c r="A23" s="98" t="s">
        <v>207</v>
      </c>
      <c r="N23" s="170">
        <v>5</v>
      </c>
      <c r="O23" s="199">
        <f t="shared" si="41"/>
        <v>11.220184543019636</v>
      </c>
      <c r="P23" s="189" t="str">
        <f t="shared" si="32"/>
        <v>87</v>
      </c>
      <c r="Q23" s="160" t="str">
        <f t="shared" si="33"/>
        <v>1+0.528738739984085i</v>
      </c>
      <c r="R23" s="160">
        <f t="shared" si="42"/>
        <v>1.1311784364811583</v>
      </c>
      <c r="S23" s="160">
        <f t="shared" si="43"/>
        <v>0.48637339864051965</v>
      </c>
      <c r="T23" s="160" t="str">
        <f t="shared" si="34"/>
        <v>1+0.000352492493322723i</v>
      </c>
      <c r="U23" s="160">
        <f t="shared" si="44"/>
        <v>1.000000062125477</v>
      </c>
      <c r="V23" s="160">
        <f t="shared" si="45"/>
        <v>3.5249247872354744E-4</v>
      </c>
      <c r="W23" s="98" t="str">
        <f t="shared" si="35"/>
        <v>1-0.0000499364365540525i</v>
      </c>
      <c r="X23" s="160">
        <f t="shared" si="46"/>
        <v>1.0000000012468238</v>
      </c>
      <c r="Y23" s="160">
        <f t="shared" si="47"/>
        <v>-4.9936436512544539E-5</v>
      </c>
      <c r="Z23" s="98" t="str">
        <f t="shared" si="36"/>
        <v>0.999999999104764+0.000104901766012842i</v>
      </c>
      <c r="AA23" s="160">
        <f t="shared" si="48"/>
        <v>1.0000000046069542</v>
      </c>
      <c r="AB23" s="160">
        <f t="shared" si="49"/>
        <v>1.0490176572196084E-4</v>
      </c>
      <c r="AC23" s="171" t="str">
        <f t="shared" si="50"/>
        <v>67.9989832580359-35.9365008050997i</v>
      </c>
      <c r="AD23" s="190">
        <f t="shared" si="51"/>
        <v>37.719763210239257</v>
      </c>
      <c r="AE23" s="169">
        <f t="shared" si="52"/>
        <v>-27.855818253690177</v>
      </c>
      <c r="AF23" s="98" t="str">
        <f t="shared" si="37"/>
        <v>-0.0000673063927557778</v>
      </c>
      <c r="AG23" s="98" t="str">
        <f t="shared" si="38"/>
        <v>7.09778884554634E-07i</v>
      </c>
      <c r="AH23" s="98">
        <f t="shared" si="53"/>
        <v>7.0977888455463402E-7</v>
      </c>
      <c r="AI23" s="98">
        <f t="shared" si="54"/>
        <v>1.5707963267948966</v>
      </c>
      <c r="AJ23" s="98" t="str">
        <f t="shared" si="39"/>
        <v>1+0.000714227936410761i</v>
      </c>
      <c r="AK23" s="98">
        <f t="shared" si="55"/>
        <v>1.0000002550607401</v>
      </c>
      <c r="AL23" s="98">
        <f t="shared" si="56"/>
        <v>7.1422781496311197E-4</v>
      </c>
      <c r="AM23" s="98" t="str">
        <f t="shared" si="40"/>
        <v>1+0.105747747996817i</v>
      </c>
      <c r="AN23" s="98">
        <f t="shared" si="57"/>
        <v>1.0055757486168799</v>
      </c>
      <c r="AO23" s="98">
        <f t="shared" si="58"/>
        <v>0.10535619404049965</v>
      </c>
      <c r="AP23" s="168" t="str">
        <f t="shared" si="59"/>
        <v>-9.96003671182481+94.8343820878085i</v>
      </c>
      <c r="AQ23" s="98">
        <f t="shared" si="60"/>
        <v>39.586958407879585</v>
      </c>
      <c r="AR23" s="169">
        <f t="shared" si="61"/>
        <v>95.995543024673736</v>
      </c>
      <c r="AS23" s="168" t="str">
        <f t="shared" si="62"/>
        <v>2730.74347863286+6806.57042718839i</v>
      </c>
      <c r="AT23" s="190">
        <f t="shared" si="63"/>
        <v>77.306721618118843</v>
      </c>
      <c r="AU23" s="169">
        <f t="shared" si="64"/>
        <v>68.139724770983619</v>
      </c>
      <c r="AV23" s="225"/>
      <c r="AX23">
        <f t="shared" si="65"/>
        <v>0</v>
      </c>
      <c r="AY23">
        <f t="shared" si="66"/>
        <v>0</v>
      </c>
    </row>
    <row r="24" spans="1:51" x14ac:dyDescent="0.25">
      <c r="A24" s="98" t="s">
        <v>208</v>
      </c>
      <c r="B24" s="205">
        <f>Lm</f>
        <v>6.7999999999999993E-6</v>
      </c>
      <c r="C24" s="98" t="s">
        <v>98</v>
      </c>
      <c r="E24" s="98" t="s">
        <v>209</v>
      </c>
      <c r="N24" s="170">
        <v>6</v>
      </c>
      <c r="O24" s="199">
        <f t="shared" si="41"/>
        <v>11.481536214968834</v>
      </c>
      <c r="P24" s="189" t="str">
        <f t="shared" si="32"/>
        <v>87</v>
      </c>
      <c r="Q24" s="160" t="str">
        <f t="shared" si="33"/>
        <v>1+0.54105464737307i</v>
      </c>
      <c r="R24" s="160">
        <f t="shared" si="42"/>
        <v>1.1369873048737162</v>
      </c>
      <c r="S24" s="160">
        <f t="shared" si="43"/>
        <v>0.49594944674084901</v>
      </c>
      <c r="T24" s="160" t="str">
        <f t="shared" si="34"/>
        <v>1+0.000360703098248713i</v>
      </c>
      <c r="U24" s="160">
        <f t="shared" si="44"/>
        <v>1.0000000650533605</v>
      </c>
      <c r="V24" s="160">
        <f t="shared" si="45"/>
        <v>3.6070308260541462E-4</v>
      </c>
      <c r="W24" s="98" t="str">
        <f t="shared" si="35"/>
        <v>1-0.0000510996055852344i</v>
      </c>
      <c r="X24" s="160">
        <f t="shared" si="46"/>
        <v>1.0000000013055848</v>
      </c>
      <c r="Y24" s="160">
        <f t="shared" si="47"/>
        <v>-5.1099605540757815E-5</v>
      </c>
      <c r="Z24" s="98" t="str">
        <f t="shared" si="36"/>
        <v>0.999999999062573+0.000107345242038817i</v>
      </c>
      <c r="AA24" s="160">
        <f t="shared" si="48"/>
        <v>1.0000000048240734</v>
      </c>
      <c r="AB24" s="160">
        <f t="shared" si="49"/>
        <v>1.0734524172713222E-4</v>
      </c>
      <c r="AC24" s="171" t="str">
        <f t="shared" si="50"/>
        <v>67.3062761092694-36.398777018858i</v>
      </c>
      <c r="AD24" s="190">
        <f t="shared" si="51"/>
        <v>37.675273275584246</v>
      </c>
      <c r="AE24" s="169">
        <f t="shared" si="52"/>
        <v>-28.40422160684221</v>
      </c>
      <c r="AF24" s="98" t="str">
        <f t="shared" si="37"/>
        <v>-0.0000673063927557778</v>
      </c>
      <c r="AG24" s="98" t="str">
        <f t="shared" si="38"/>
        <v>7.26311758633607E-07i</v>
      </c>
      <c r="AH24" s="98">
        <f t="shared" si="53"/>
        <v>7.2631175863360703E-7</v>
      </c>
      <c r="AI24" s="98">
        <f t="shared" si="54"/>
        <v>1.5707963267948966</v>
      </c>
      <c r="AJ24" s="98" t="str">
        <f t="shared" si="39"/>
        <v>1+0.000730864442220275i</v>
      </c>
      <c r="AK24" s="98">
        <f t="shared" si="55"/>
        <v>1.0000002670813808</v>
      </c>
      <c r="AL24" s="98">
        <f t="shared" si="56"/>
        <v>7.3086431208677636E-4</v>
      </c>
      <c r="AM24" s="98" t="str">
        <f t="shared" si="40"/>
        <v>1+0.108210929474614i</v>
      </c>
      <c r="AN24" s="98">
        <f t="shared" si="57"/>
        <v>1.0058377628910937</v>
      </c>
      <c r="AO24" s="98">
        <f t="shared" si="58"/>
        <v>0.10779150325423889</v>
      </c>
      <c r="AP24" s="168" t="str">
        <f t="shared" si="59"/>
        <v>-9.96003647237283+92.6760156309966i</v>
      </c>
      <c r="AQ24" s="98">
        <f t="shared" si="60"/>
        <v>39.389221216659095</v>
      </c>
      <c r="AR24" s="169">
        <f t="shared" si="61"/>
        <v>96.134122763359258</v>
      </c>
      <c r="AS24" s="168" t="str">
        <f t="shared" si="62"/>
        <v>2702.92066308092+6600.21064342442i</v>
      </c>
      <c r="AT24" s="190">
        <f t="shared" si="63"/>
        <v>77.064494492243341</v>
      </c>
      <c r="AU24" s="169">
        <f t="shared" si="64"/>
        <v>67.729901156517101</v>
      </c>
      <c r="AV24" s="225"/>
      <c r="AX24">
        <f t="shared" si="65"/>
        <v>0</v>
      </c>
      <c r="AY24">
        <f t="shared" si="66"/>
        <v>0</v>
      </c>
    </row>
    <row r="25" spans="1:51" x14ac:dyDescent="0.25">
      <c r="N25" s="170">
        <v>7</v>
      </c>
      <c r="O25" s="199">
        <f t="shared" si="41"/>
        <v>11.748975549395301</v>
      </c>
      <c r="P25" s="189" t="str">
        <f t="shared" si="32"/>
        <v>87</v>
      </c>
      <c r="Q25" s="160" t="str">
        <f t="shared" si="33"/>
        <v>1+0.553657429097797i</v>
      </c>
      <c r="R25" s="160">
        <f t="shared" si="42"/>
        <v>1.1430382971690765</v>
      </c>
      <c r="S25" s="160">
        <f t="shared" si="43"/>
        <v>0.50564688055707818</v>
      </c>
      <c r="T25" s="160" t="str">
        <f t="shared" si="34"/>
        <v>1+0.000369104952731864i</v>
      </c>
      <c r="U25" s="160">
        <f t="shared" si="44"/>
        <v>1.0000000681192307</v>
      </c>
      <c r="V25" s="160">
        <f t="shared" si="45"/>
        <v>3.6910493596976782E-4</v>
      </c>
      <c r="W25" s="98" t="str">
        <f t="shared" si="35"/>
        <v>1-0.0000522898683036808i</v>
      </c>
      <c r="X25" s="160">
        <f t="shared" si="46"/>
        <v>1.0000000013671151</v>
      </c>
      <c r="Y25" s="160">
        <f t="shared" si="47"/>
        <v>-5.2289868256023286E-5</v>
      </c>
      <c r="Z25" s="98" t="str">
        <f t="shared" si="36"/>
        <v>0.999999999018393+0.000109845633933003i</v>
      </c>
      <c r="AA25" s="160">
        <f t="shared" si="48"/>
        <v>1.0000000050514246</v>
      </c>
      <c r="AB25" s="160">
        <f t="shared" si="49"/>
        <v>1.0984563359902679E-4</v>
      </c>
      <c r="AC25" s="171" t="str">
        <f t="shared" si="50"/>
        <v>66.5958967375242-36.8533066343604i</v>
      </c>
      <c r="AD25" s="190">
        <f t="shared" si="51"/>
        <v>37.629169981034245</v>
      </c>
      <c r="AE25" s="169">
        <f t="shared" si="52"/>
        <v>-28.959573704813266</v>
      </c>
      <c r="AF25" s="98" t="str">
        <f t="shared" si="37"/>
        <v>-0.0000673063927557778</v>
      </c>
      <c r="AG25" s="98" t="str">
        <f t="shared" si="38"/>
        <v>7.43229732820881E-07i</v>
      </c>
      <c r="AH25" s="98">
        <f t="shared" si="53"/>
        <v>7.4322973282088102E-7</v>
      </c>
      <c r="AI25" s="98">
        <f t="shared" si="54"/>
        <v>1.5707963267948966</v>
      </c>
      <c r="AJ25" s="98" t="str">
        <f t="shared" si="39"/>
        <v>1+0.00074788846203119i</v>
      </c>
      <c r="AK25" s="98">
        <f t="shared" si="55"/>
        <v>1.0000002796685368</v>
      </c>
      <c r="AL25" s="98">
        <f t="shared" si="56"/>
        <v>7.4788832259063611E-4</v>
      </c>
      <c r="AM25" s="98" t="str">
        <f t="shared" si="40"/>
        <v>1+0.110731485819559i</v>
      </c>
      <c r="AN25" s="98">
        <f t="shared" si="57"/>
        <v>1.0061120523837328</v>
      </c>
      <c r="AO25" s="98">
        <f t="shared" si="58"/>
        <v>0.11028220985135555</v>
      </c>
      <c r="AP25" s="168" t="str">
        <f t="shared" si="59"/>
        <v>-9.96003622163579+90.5667872243674i</v>
      </c>
      <c r="AQ25" s="98">
        <f t="shared" si="60"/>
        <v>39.191589405243839</v>
      </c>
      <c r="AR25" s="169">
        <f t="shared" si="61"/>
        <v>96.275854335427184</v>
      </c>
      <c r="AS25" s="168" t="str">
        <f t="shared" si="62"/>
        <v>2674.38803675043+6398.43667880858i</v>
      </c>
      <c r="AT25" s="190">
        <f t="shared" si="63"/>
        <v>76.820759386278098</v>
      </c>
      <c r="AU25" s="169">
        <f t="shared" si="64"/>
        <v>67.316280630613917</v>
      </c>
      <c r="AV25" s="225"/>
      <c r="AX25">
        <f t="shared" si="65"/>
        <v>0</v>
      </c>
      <c r="AY25">
        <f t="shared" si="66"/>
        <v>0</v>
      </c>
    </row>
    <row r="26" spans="1:51" x14ac:dyDescent="0.25">
      <c r="A26" s="98" t="s">
        <v>160</v>
      </c>
      <c r="B26" s="205">
        <f>R_cs</f>
        <v>0.01</v>
      </c>
      <c r="C26" s="206" t="s">
        <v>36</v>
      </c>
      <c r="E26" s="98" t="s">
        <v>210</v>
      </c>
      <c r="N26" s="170">
        <v>8</v>
      </c>
      <c r="O26" s="199">
        <f t="shared" si="41"/>
        <v>12.022644346174133</v>
      </c>
      <c r="P26" s="189" t="str">
        <f t="shared" si="32"/>
        <v>87</v>
      </c>
      <c r="Q26" s="160" t="str">
        <f t="shared" si="33"/>
        <v>1+0.566553767319954i</v>
      </c>
      <c r="R26" s="160">
        <f t="shared" si="42"/>
        <v>1.1493403200377303</v>
      </c>
      <c r="S26" s="160">
        <f t="shared" si="43"/>
        <v>0.51546354544671436</v>
      </c>
      <c r="T26" s="160" t="str">
        <f t="shared" si="34"/>
        <v>1+0.000377702511546635i</v>
      </c>
      <c r="U26" s="160">
        <f t="shared" si="44"/>
        <v>1.0000000713295911</v>
      </c>
      <c r="V26" s="160">
        <f t="shared" si="45"/>
        <v>3.7770249358572546E-4</v>
      </c>
      <c r="W26" s="98" t="str">
        <f t="shared" si="35"/>
        <v>1-0.0000535078558024401i</v>
      </c>
      <c r="X26" s="160">
        <f t="shared" si="46"/>
        <v>1.0000000014315453</v>
      </c>
      <c r="Y26" s="160">
        <f t="shared" si="47"/>
        <v>-5.3507855751374149E-5</v>
      </c>
      <c r="Z26" s="98" t="str">
        <f t="shared" si="36"/>
        <v>0.999999998972132+0.000112404267436279i</v>
      </c>
      <c r="AA26" s="160">
        <f t="shared" si="48"/>
        <v>1.0000000052894915</v>
      </c>
      <c r="AB26" s="160">
        <f t="shared" si="49"/>
        <v>1.1240426707841698E-4</v>
      </c>
      <c r="AC26" s="171" t="str">
        <f t="shared" si="50"/>
        <v>65.8679421488738-37.299305006696i</v>
      </c>
      <c r="AD26" s="190">
        <f t="shared" si="51"/>
        <v>37.581412789103076</v>
      </c>
      <c r="AE26" s="169">
        <f t="shared" si="52"/>
        <v>-29.521750952560811</v>
      </c>
      <c r="AF26" s="98" t="str">
        <f t="shared" si="37"/>
        <v>-0.0000673063927557778</v>
      </c>
      <c r="AG26" s="98" t="str">
        <f t="shared" si="38"/>
        <v>7.60541777250305E-07i</v>
      </c>
      <c r="AH26" s="98">
        <f t="shared" si="53"/>
        <v>7.6054177725030501E-7</v>
      </c>
      <c r="AI26" s="98">
        <f t="shared" si="54"/>
        <v>1.5707963267948966</v>
      </c>
      <c r="AJ26" s="98" t="str">
        <f t="shared" si="39"/>
        <v>1+0.000765309022204147i</v>
      </c>
      <c r="AK26" s="98">
        <f t="shared" si="55"/>
        <v>1.0000002928489069</v>
      </c>
      <c r="AL26" s="98">
        <f t="shared" si="56"/>
        <v>7.6530887279090392E-4</v>
      </c>
      <c r="AM26" s="98" t="str">
        <f t="shared" si="40"/>
        <v>1+0.11331075346399i</v>
      </c>
      <c r="AN26" s="98">
        <f t="shared" si="57"/>
        <v>1.0063991886178054</v>
      </c>
      <c r="AO26" s="98">
        <f t="shared" si="58"/>
        <v>0.11282951075911372</v>
      </c>
      <c r="AP26" s="168" t="str">
        <f t="shared" si="59"/>
        <v>-9.96003595908189+88.5055785271003i</v>
      </c>
      <c r="AQ26" s="98">
        <f t="shared" si="60"/>
        <v>38.994067819681469</v>
      </c>
      <c r="AR26" s="169">
        <f t="shared" si="61"/>
        <v>96.420805802588305</v>
      </c>
      <c r="AS26" s="168" t="str">
        <f t="shared" si="62"/>
        <v>2645.14949592289+6201.1827453911i</v>
      </c>
      <c r="AT26" s="190">
        <f t="shared" si="63"/>
        <v>76.575480608784545</v>
      </c>
      <c r="AU26" s="169">
        <f t="shared" si="64"/>
        <v>66.899054850027468</v>
      </c>
      <c r="AV26" s="225"/>
      <c r="AX26">
        <f t="shared" si="65"/>
        <v>0</v>
      </c>
      <c r="AY26">
        <f t="shared" si="66"/>
        <v>0</v>
      </c>
    </row>
    <row r="27" spans="1:51" x14ac:dyDescent="0.25">
      <c r="A27" s="98" t="s">
        <v>161</v>
      </c>
      <c r="B27" s="205">
        <f>R_sl</f>
        <v>267</v>
      </c>
      <c r="C27" s="206" t="s">
        <v>36</v>
      </c>
      <c r="E27" s="98" t="s">
        <v>211</v>
      </c>
      <c r="N27" s="170">
        <v>9</v>
      </c>
      <c r="O27" s="199">
        <f t="shared" si="41"/>
        <v>12.302687708123818</v>
      </c>
      <c r="P27" s="189" t="str">
        <f t="shared" si="32"/>
        <v>87</v>
      </c>
      <c r="Q27" s="160" t="str">
        <f t="shared" si="33"/>
        <v>1+0.57975049984877i</v>
      </c>
      <c r="R27" s="160">
        <f t="shared" si="42"/>
        <v>1.1559025227392226</v>
      </c>
      <c r="S27" s="160">
        <f t="shared" si="43"/>
        <v>0.52539707762224097</v>
      </c>
      <c r="T27" s="160" t="str">
        <f t="shared" si="34"/>
        <v>1+0.000386500333232513i</v>
      </c>
      <c r="U27" s="160">
        <f t="shared" si="44"/>
        <v>1.000000074691251</v>
      </c>
      <c r="V27" s="160">
        <f t="shared" si="45"/>
        <v>3.8650031398705176E-4</v>
      </c>
      <c r="W27" s="98" t="str">
        <f t="shared" si="35"/>
        <v>1-0.0000547542138746061i</v>
      </c>
      <c r="X27" s="160">
        <f t="shared" si="46"/>
        <v>1.0000000014990118</v>
      </c>
      <c r="Y27" s="160">
        <f t="shared" si="47"/>
        <v>-5.4754213819887954E-5</v>
      </c>
      <c r="Z27" s="98" t="str">
        <f t="shared" si="36"/>
        <v>0.99999999892369+0.000115022499169996i</v>
      </c>
      <c r="AA27" s="160">
        <f t="shared" si="48"/>
        <v>1.0000000055387774</v>
      </c>
      <c r="AB27" s="160">
        <f t="shared" si="49"/>
        <v>1.1502249878653993E-4</v>
      </c>
      <c r="AC27" s="171" t="str">
        <f t="shared" si="50"/>
        <v>65.1225523791191-37.7359773387174i</v>
      </c>
      <c r="AD27" s="190">
        <f t="shared" si="51"/>
        <v>37.531961434550773</v>
      </c>
      <c r="AE27" s="169">
        <f t="shared" si="52"/>
        <v>-30.090617768581755</v>
      </c>
      <c r="AF27" s="98" t="str">
        <f t="shared" si="37"/>
        <v>-0.0000673063927557778</v>
      </c>
      <c r="AG27" s="98" t="str">
        <f t="shared" si="38"/>
        <v>7.78257070996987E-07i</v>
      </c>
      <c r="AH27" s="98">
        <f t="shared" si="53"/>
        <v>7.7825707099698705E-7</v>
      </c>
      <c r="AI27" s="98">
        <f t="shared" si="54"/>
        <v>1.5707963267948966</v>
      </c>
      <c r="AJ27" s="98" t="str">
        <f t="shared" si="39"/>
        <v>1+0.00078313535935074i</v>
      </c>
      <c r="AK27" s="98">
        <f t="shared" si="55"/>
        <v>1.0000003066504486</v>
      </c>
      <c r="AL27" s="98">
        <f t="shared" si="56"/>
        <v>7.8313519925156828E-4</v>
      </c>
      <c r="AM27" s="98" t="str">
        <f t="shared" si="40"/>
        <v>1+0.115950099969754i</v>
      </c>
      <c r="AN27" s="98">
        <f t="shared" si="57"/>
        <v>1.0066997693865813</v>
      </c>
      <c r="AO27" s="98">
        <f t="shared" si="58"/>
        <v>0.11543462428827544</v>
      </c>
      <c r="AP27" s="168" t="str">
        <f t="shared" si="59"/>
        <v>-9.96003568415433+86.4912966590596i</v>
      </c>
      <c r="AQ27" s="98">
        <f t="shared" si="60"/>
        <v>38.796661523016517</v>
      </c>
      <c r="AR27" s="169">
        <f t="shared" si="61"/>
        <v>96.569046439691235</v>
      </c>
      <c r="AS27" s="168" t="str">
        <f t="shared" si="62"/>
        <v>2615.21066518332+6008.3856778876i</v>
      </c>
      <c r="AT27" s="190">
        <f t="shared" si="63"/>
        <v>76.328622957567291</v>
      </c>
      <c r="AU27" s="169">
        <f t="shared" si="64"/>
        <v>66.478428671109484</v>
      </c>
      <c r="AV27" s="225"/>
      <c r="AX27">
        <f t="shared" si="65"/>
        <v>0</v>
      </c>
      <c r="AY27">
        <f t="shared" si="66"/>
        <v>0</v>
      </c>
    </row>
    <row r="28" spans="1:51" x14ac:dyDescent="0.25">
      <c r="A28" s="98" t="s">
        <v>146</v>
      </c>
      <c r="B28" s="207">
        <f>Rsl_int</f>
        <v>1333</v>
      </c>
      <c r="C28" s="206" t="s">
        <v>36</v>
      </c>
      <c r="E28" s="98" t="s">
        <v>212</v>
      </c>
      <c r="N28" s="170">
        <v>10</v>
      </c>
      <c r="O28" s="199">
        <f t="shared" si="41"/>
        <v>12.58925411794168</v>
      </c>
      <c r="P28" s="189" t="str">
        <f t="shared" si="32"/>
        <v>87</v>
      </c>
      <c r="Q28" s="160" t="str">
        <f t="shared" si="33"/>
        <v>1+0.593254623766511i</v>
      </c>
      <c r="R28" s="160">
        <f t="shared" si="42"/>
        <v>1.1627342983761786</v>
      </c>
      <c r="S28" s="160">
        <f t="shared" si="43"/>
        <v>0.53544490180398008</v>
      </c>
      <c r="T28" s="160" t="str">
        <f t="shared" si="34"/>
        <v>1+0.000395503082511007i</v>
      </c>
      <c r="U28" s="160">
        <f t="shared" si="44"/>
        <v>1.0000000782113412</v>
      </c>
      <c r="V28" s="160">
        <f t="shared" si="45"/>
        <v>3.9550306188912377E-4</v>
      </c>
      <c r="W28" s="98" t="str">
        <f t="shared" si="35"/>
        <v>1-0.000056029603355726i</v>
      </c>
      <c r="X28" s="160">
        <f t="shared" si="46"/>
        <v>1.0000000015696582</v>
      </c>
      <c r="Y28" s="160">
        <f t="shared" si="47"/>
        <v>-5.6029603297094446E-5</v>
      </c>
      <c r="Z28" s="98" t="str">
        <f t="shared" si="36"/>
        <v>0.999999998872965+0.000117701717355276i</v>
      </c>
      <c r="AA28" s="160">
        <f t="shared" si="48"/>
        <v>1.000000005799812</v>
      </c>
      <c r="AB28" s="160">
        <f t="shared" si="49"/>
        <v>1.1770171694439542E-4</v>
      </c>
      <c r="AC28" s="171" t="str">
        <f t="shared" si="50"/>
        <v>64.359912087892-38.1625212885554i</v>
      </c>
      <c r="AD28" s="190">
        <f t="shared" si="51"/>
        <v>37.48077602520253</v>
      </c>
      <c r="AE28" s="169">
        <f t="shared" si="52"/>
        <v>-30.666026450353126</v>
      </c>
      <c r="AF28" s="98" t="str">
        <f t="shared" si="37"/>
        <v>-0.0000673063927557778</v>
      </c>
      <c r="AG28" s="98" t="str">
        <f t="shared" si="38"/>
        <v>7.96385006944162E-07i</v>
      </c>
      <c r="AH28" s="98">
        <f t="shared" si="53"/>
        <v>7.9638500694416205E-7</v>
      </c>
      <c r="AI28" s="98">
        <f t="shared" si="54"/>
        <v>1.5707963267948966</v>
      </c>
      <c r="AJ28" s="98" t="str">
        <f t="shared" si="39"/>
        <v>1+0.000801376925230883i</v>
      </c>
      <c r="AK28" s="98">
        <f t="shared" si="55"/>
        <v>1.0000003211024366</v>
      </c>
      <c r="AL28" s="98">
        <f t="shared" si="56"/>
        <v>8.0137675368153268E-4</v>
      </c>
      <c r="AM28" s="98" t="str">
        <f t="shared" si="40"/>
        <v>1+0.118650924753302i</v>
      </c>
      <c r="AN28" s="98">
        <f t="shared" si="57"/>
        <v>1.007014419928937</v>
      </c>
      <c r="AO28" s="98">
        <f t="shared" si="58"/>
        <v>0.1180987901888093</v>
      </c>
      <c r="AP28" s="168" t="str">
        <f t="shared" si="59"/>
        <v>-9.96003539626981+84.5228736213343i</v>
      </c>
      <c r="AQ28" s="98">
        <f t="shared" si="60"/>
        <v>38.599375804450389</v>
      </c>
      <c r="AR28" s="169">
        <f t="shared" si="61"/>
        <v>96.720646737633942</v>
      </c>
      <c r="AS28" s="168" t="str">
        <f t="shared" si="62"/>
        <v>2584.57896144783+5819.98477852999i</v>
      </c>
      <c r="AT28" s="190">
        <f t="shared" si="63"/>
        <v>76.080151829652905</v>
      </c>
      <c r="AU28" s="169">
        <f t="shared" si="64"/>
        <v>66.054620287280812</v>
      </c>
      <c r="AV28" s="225"/>
      <c r="AX28">
        <f t="shared" si="65"/>
        <v>0</v>
      </c>
      <c r="AY28">
        <f t="shared" si="66"/>
        <v>0</v>
      </c>
    </row>
    <row r="29" spans="1:51" x14ac:dyDescent="0.25">
      <c r="A29" s="98" t="s">
        <v>144</v>
      </c>
      <c r="B29" s="207">
        <f>Isl</f>
        <v>2.9999999999999997E-5</v>
      </c>
      <c r="C29" s="206" t="s">
        <v>11</v>
      </c>
      <c r="E29" s="98" t="s">
        <v>213</v>
      </c>
      <c r="N29" s="170">
        <v>11</v>
      </c>
      <c r="O29" s="199">
        <f t="shared" si="41"/>
        <v>12.882495516931346</v>
      </c>
      <c r="P29" s="189" t="str">
        <f t="shared" si="32"/>
        <v>87</v>
      </c>
      <c r="Q29" s="160" t="str">
        <f t="shared" si="33"/>
        <v>1+0.607073299138426i</v>
      </c>
      <c r="R29" s="160">
        <f t="shared" si="42"/>
        <v>1.1698452848675387</v>
      </c>
      <c r="S29" s="160">
        <f t="shared" si="43"/>
        <v>0.54560422958922761</v>
      </c>
      <c r="T29" s="160" t="str">
        <f t="shared" si="34"/>
        <v>1+0.000404715532758949i</v>
      </c>
      <c r="U29" s="160">
        <f t="shared" si="44"/>
        <v>1.0000000818973278</v>
      </c>
      <c r="V29" s="160">
        <f t="shared" si="45"/>
        <v>4.0471551066220311E-4</v>
      </c>
      <c r="W29" s="98" t="str">
        <f t="shared" si="35"/>
        <v>1-0.0000573347004741846i</v>
      </c>
      <c r="X29" s="160">
        <f t="shared" si="46"/>
        <v>1.0000000016436339</v>
      </c>
      <c r="Y29" s="160">
        <f t="shared" si="47"/>
        <v>-5.733470041135976E-5</v>
      </c>
      <c r="Z29" s="98" t="str">
        <f t="shared" si="36"/>
        <v>0.999999998819849+0.000120443342549063i</v>
      </c>
      <c r="AA29" s="160">
        <f t="shared" si="48"/>
        <v>1.0000000060731482</v>
      </c>
      <c r="AB29" s="160">
        <f t="shared" si="49"/>
        <v>1.204433421087966E-4</v>
      </c>
      <c r="AC29" s="171" t="str">
        <f t="shared" si="50"/>
        <v>63.5802519845975-38.5781297712537i</v>
      </c>
      <c r="AD29" s="190">
        <f t="shared" si="51"/>
        <v>37.427817146244855</v>
      </c>
      <c r="AE29" s="169">
        <f t="shared" si="52"/>
        <v>-31.247817080811618</v>
      </c>
      <c r="AF29" s="98" t="str">
        <f t="shared" si="37"/>
        <v>-0.0000673063927557778</v>
      </c>
      <c r="AG29" s="98" t="str">
        <f t="shared" si="38"/>
        <v>8.14935196763421E-07i</v>
      </c>
      <c r="AH29" s="98">
        <f t="shared" si="53"/>
        <v>8.1493519676342096E-7</v>
      </c>
      <c r="AI29" s="98">
        <f t="shared" si="54"/>
        <v>1.5707963267948966</v>
      </c>
      <c r="AJ29" s="98" t="str">
        <f t="shared" si="39"/>
        <v>1+0.00082004339176426i</v>
      </c>
      <c r="AK29" s="98">
        <f t="shared" si="55"/>
        <v>1.0000003362355256</v>
      </c>
      <c r="AL29" s="98">
        <f t="shared" si="56"/>
        <v>8.2004320794582268E-4</v>
      </c>
      <c r="AM29" s="98" t="str">
        <f t="shared" si="40"/>
        <v>1+0.121414659827685i</v>
      </c>
      <c r="AN29" s="98">
        <f t="shared" si="57"/>
        <v>1.0073437941542462</v>
      </c>
      <c r="AO29" s="98">
        <f t="shared" si="58"/>
        <v>0.12082326967789915</v>
      </c>
      <c r="AP29" s="168" t="str">
        <f t="shared" si="59"/>
        <v>-9.96003509481767+82.599265729974i</v>
      </c>
      <c r="AQ29" s="98">
        <f t="shared" si="60"/>
        <v>38.402216188835055</v>
      </c>
      <c r="AR29" s="169">
        <f t="shared" si="61"/>
        <v>96.875678404680897</v>
      </c>
      <c r="AS29" s="168" t="str">
        <f t="shared" si="62"/>
        <v>2553.26365123726+5635.92165526859i</v>
      </c>
      <c r="AT29" s="190">
        <f t="shared" si="63"/>
        <v>75.830033335079904</v>
      </c>
      <c r="AU29" s="169">
        <f t="shared" si="64"/>
        <v>65.627861323869311</v>
      </c>
      <c r="AV29" s="225"/>
      <c r="AX29">
        <f t="shared" si="65"/>
        <v>0</v>
      </c>
      <c r="AY29">
        <f t="shared" si="66"/>
        <v>0</v>
      </c>
    </row>
    <row r="30" spans="1:51" x14ac:dyDescent="0.25">
      <c r="C30" s="206"/>
      <c r="N30" s="170">
        <v>12</v>
      </c>
      <c r="O30" s="199">
        <f t="shared" si="41"/>
        <v>13.182567385564075</v>
      </c>
      <c r="P30" s="189" t="str">
        <f t="shared" si="32"/>
        <v>87</v>
      </c>
      <c r="Q30" s="160" t="str">
        <f t="shared" si="33"/>
        <v>1+0.621213852809109i</v>
      </c>
      <c r="R30" s="160">
        <f t="shared" si="42"/>
        <v>1.1772453656404587</v>
      </c>
      <c r="S30" s="160">
        <f t="shared" si="43"/>
        <v>0.55587205858775479</v>
      </c>
      <c r="T30" s="160" t="str">
        <f t="shared" si="34"/>
        <v>1+0.000414142568539405i</v>
      </c>
      <c r="U30" s="160">
        <f t="shared" si="44"/>
        <v>1.0000000857570299</v>
      </c>
      <c r="V30" s="160">
        <f t="shared" si="45"/>
        <v>4.1414254486231536E-4</v>
      </c>
      <c r="W30" s="98" t="str">
        <f t="shared" si="35"/>
        <v>1-0.0000586701972097492i</v>
      </c>
      <c r="X30" s="160">
        <f t="shared" si="46"/>
        <v>1.0000000017210959</v>
      </c>
      <c r="Y30" s="160">
        <f t="shared" si="47"/>
        <v>-5.867019714243117E-5</v>
      </c>
      <c r="Z30" s="98" t="str">
        <f t="shared" si="36"/>
        <v>0.999999998764231+0.000123248828397327i</v>
      </c>
      <c r="AA30" s="160">
        <f t="shared" si="48"/>
        <v>1.0000000063593677</v>
      </c>
      <c r="AB30" s="160">
        <f t="shared" si="49"/>
        <v>1.2324882792557297E-4</v>
      </c>
      <c r="AC30" s="171" t="str">
        <f t="shared" si="50"/>
        <v>62.7838500631801-38.9819939442582i</v>
      </c>
      <c r="AD30" s="190">
        <f t="shared" si="51"/>
        <v>37.373045967585448</v>
      </c>
      <c r="AE30" s="169">
        <f t="shared" si="52"/>
        <v>-31.835817478739333</v>
      </c>
      <c r="AF30" s="98" t="str">
        <f t="shared" si="37"/>
        <v>-0.0000673063927557778</v>
      </c>
      <c r="AG30" s="98" t="str">
        <f t="shared" si="38"/>
        <v>8.33917476010946E-07i</v>
      </c>
      <c r="AH30" s="98">
        <f t="shared" si="53"/>
        <v>8.3391747601094604E-7</v>
      </c>
      <c r="AI30" s="98">
        <f t="shared" si="54"/>
        <v>1.5707963267948966</v>
      </c>
      <c r="AJ30" s="98" t="str">
        <f t="shared" si="39"/>
        <v>1+0.000839144656158508i</v>
      </c>
      <c r="AK30" s="98">
        <f t="shared" si="55"/>
        <v>1.000000352081815</v>
      </c>
      <c r="AL30" s="98">
        <f t="shared" si="56"/>
        <v>8.3914445919350744E-4</v>
      </c>
      <c r="AM30" s="98" t="str">
        <f t="shared" si="40"/>
        <v>1+0.124242770561821i</v>
      </c>
      <c r="AN30" s="98">
        <f t="shared" si="57"/>
        <v>1.0076885759186105</v>
      </c>
      <c r="AO30" s="98">
        <f t="shared" si="58"/>
        <v>0.12360934543781572</v>
      </c>
      <c r="AP30" s="168" t="str">
        <f t="shared" si="59"/>
        <v>-9.96003477915856+80.7194530626108i</v>
      </c>
      <c r="AQ30" s="98">
        <f t="shared" si="60"/>
        <v>38.205188446506526</v>
      </c>
      <c r="AR30" s="169">
        <f t="shared" si="61"/>
        <v>97.034214366047948</v>
      </c>
      <c r="AS30" s="168" t="str">
        <f t="shared" si="62"/>
        <v>2521.27590027178+5456.14005371062i</v>
      </c>
      <c r="AT30" s="190">
        <f t="shared" si="63"/>
        <v>75.578234414091966</v>
      </c>
      <c r="AU30" s="169">
        <f t="shared" si="64"/>
        <v>65.19839688730859</v>
      </c>
      <c r="AV30" s="225"/>
      <c r="AX30">
        <f t="shared" si="65"/>
        <v>0</v>
      </c>
      <c r="AY30">
        <f t="shared" si="66"/>
        <v>0</v>
      </c>
    </row>
    <row r="31" spans="1:51" x14ac:dyDescent="0.25">
      <c r="A31" s="98" t="s">
        <v>236</v>
      </c>
      <c r="B31" s="207">
        <f>Gcomp</f>
        <v>0.14499999999999999</v>
      </c>
      <c r="C31" s="206"/>
      <c r="E31" s="98" t="s">
        <v>237</v>
      </c>
      <c r="N31" s="170">
        <v>13</v>
      </c>
      <c r="O31" s="199">
        <f t="shared" si="41"/>
        <v>13.489628825916535</v>
      </c>
      <c r="P31" s="189" t="str">
        <f t="shared" si="32"/>
        <v>87</v>
      </c>
      <c r="Q31" s="160" t="str">
        <f t="shared" si="33"/>
        <v>1+0.635683782287289i</v>
      </c>
      <c r="R31" s="160">
        <f t="shared" si="42"/>
        <v>1.1849446700428983</v>
      </c>
      <c r="S31" s="160">
        <f t="shared" si="43"/>
        <v>0.56624517237069005</v>
      </c>
      <c r="T31" s="160" t="str">
        <f t="shared" si="34"/>
        <v>1+0.000423789188191525i</v>
      </c>
      <c r="U31" s="160">
        <f t="shared" si="44"/>
        <v>1.0000000897986339</v>
      </c>
      <c r="V31" s="160">
        <f t="shared" si="45"/>
        <v>4.2378916282106646E-4</v>
      </c>
      <c r="W31" s="98" t="str">
        <f t="shared" si="35"/>
        <v>1-0.0000600368016604662i</v>
      </c>
      <c r="X31" s="160">
        <f t="shared" si="46"/>
        <v>1.0000000018022088</v>
      </c>
      <c r="Y31" s="160">
        <f t="shared" si="47"/>
        <v>-6.0036801588333632E-5</v>
      </c>
      <c r="Z31" s="98" t="str">
        <f t="shared" si="36"/>
        <v>0.999999998705991+0.000126119662405798i</v>
      </c>
      <c r="AA31" s="160">
        <f t="shared" si="48"/>
        <v>1.0000000066590755</v>
      </c>
      <c r="AB31" s="160">
        <f t="shared" si="49"/>
        <v>1.2611966190030443E-4</v>
      </c>
      <c r="AC31" s="171" t="str">
        <f t="shared" si="50"/>
        <v>61.971032623091-39.373306363692i</v>
      </c>
      <c r="AD31" s="190">
        <f t="shared" si="51"/>
        <v>37.316424353811151</v>
      </c>
      <c r="AE31" s="169">
        <f t="shared" si="52"/>
        <v>-32.429843195752291</v>
      </c>
      <c r="AF31" s="98" t="str">
        <f t="shared" si="37"/>
        <v>-0.0000673063927557778</v>
      </c>
      <c r="AG31" s="98" t="str">
        <f t="shared" si="38"/>
        <v>8.53341909342455E-07i</v>
      </c>
      <c r="AH31" s="98">
        <f t="shared" si="53"/>
        <v>8.5334190934245503E-7</v>
      </c>
      <c r="AI31" s="98">
        <f t="shared" si="54"/>
        <v>1.5707963267948966</v>
      </c>
      <c r="AJ31" s="98" t="str">
        <f t="shared" si="39"/>
        <v>1+0.000858690846156844i</v>
      </c>
      <c r="AK31" s="98">
        <f t="shared" si="55"/>
        <v>1.0000003686749166</v>
      </c>
      <c r="AL31" s="98">
        <f t="shared" si="56"/>
        <v>8.5869063510504772E-4</v>
      </c>
      <c r="AM31" s="98" t="str">
        <f t="shared" si="40"/>
        <v>1+0.127136756457457i</v>
      </c>
      <c r="AN31" s="98">
        <f t="shared" si="57"/>
        <v>1.0080494803542743</v>
      </c>
      <c r="AO31" s="98">
        <f t="shared" si="58"/>
        <v>0.12645832158111039</v>
      </c>
      <c r="AP31" s="168" t="str">
        <f t="shared" si="59"/>
        <v>-9.96003444862292+78.8824389176847i</v>
      </c>
      <c r="AQ31" s="98">
        <f t="shared" si="60"/>
        <v>38.008298603465526</v>
      </c>
      <c r="AR31" s="169">
        <f t="shared" si="61"/>
        <v>97.196328761606821</v>
      </c>
      <c r="AS31" s="168" t="str">
        <f t="shared" si="62"/>
        <v>2488.6288144785+5280.58568329538i</v>
      </c>
      <c r="AT31" s="190">
        <f t="shared" si="63"/>
        <v>75.324722957276677</v>
      </c>
      <c r="AU31" s="169">
        <f t="shared" si="64"/>
        <v>64.766485565854538</v>
      </c>
      <c r="AV31" s="225"/>
      <c r="AX31">
        <f t="shared" si="65"/>
        <v>0</v>
      </c>
      <c r="AY31">
        <f t="shared" si="66"/>
        <v>0</v>
      </c>
    </row>
    <row r="32" spans="1:51" x14ac:dyDescent="0.25">
      <c r="N32" s="170">
        <v>14</v>
      </c>
      <c r="O32" s="199">
        <f t="shared" si="41"/>
        <v>13.803842646028857</v>
      </c>
      <c r="P32" s="189" t="str">
        <f t="shared" si="32"/>
        <v>87</v>
      </c>
      <c r="Q32" s="160" t="str">
        <f t="shared" si="33"/>
        <v>1+0.650490759721108i</v>
      </c>
      <c r="R32" s="160">
        <f t="shared" si="42"/>
        <v>1.1929535734816106</v>
      </c>
      <c r="S32" s="160">
        <f t="shared" si="43"/>
        <v>0.57672014127594973</v>
      </c>
      <c r="T32" s="160" t="str">
        <f t="shared" si="34"/>
        <v>1+0.000433660506480738i</v>
      </c>
      <c r="U32" s="160">
        <f t="shared" si="44"/>
        <v>1.000000094030713</v>
      </c>
      <c r="V32" s="160">
        <f t="shared" si="45"/>
        <v>4.3366047929580204E-4</v>
      </c>
      <c r="W32" s="98" t="str">
        <f t="shared" si="35"/>
        <v>1-0.0000614352384181046i</v>
      </c>
      <c r="X32" s="160">
        <f t="shared" si="46"/>
        <v>1.0000000018871442</v>
      </c>
      <c r="Y32" s="160">
        <f t="shared" si="47"/>
        <v>-6.1435238340813161E-5</v>
      </c>
      <c r="Z32" s="98" t="str">
        <f t="shared" si="36"/>
        <v>0.999999998645006+0.000129057366728668i</v>
      </c>
      <c r="AA32" s="160">
        <f t="shared" si="48"/>
        <v>1.0000000069729078</v>
      </c>
      <c r="AB32" s="160">
        <f t="shared" si="49"/>
        <v>1.2905736618702189E-4</v>
      </c>
      <c r="AC32" s="171" t="str">
        <f t="shared" si="50"/>
        <v>61.1421750545866-39.751264295481i</v>
      </c>
      <c r="AD32" s="190">
        <f t="shared" si="51"/>
        <v>37.257914976226999</v>
      </c>
      <c r="AE32" s="169">
        <f t="shared" si="52"/>
        <v>-33.029697562363125</v>
      </c>
      <c r="AF32" s="98" t="str">
        <f t="shared" si="37"/>
        <v>-0.0000673063927557778</v>
      </c>
      <c r="AG32" s="98" t="str">
        <f t="shared" si="38"/>
        <v>8.73218795849613E-07i</v>
      </c>
      <c r="AH32" s="98">
        <f t="shared" si="53"/>
        <v>8.7321879584961296E-7</v>
      </c>
      <c r="AI32" s="98">
        <f t="shared" si="54"/>
        <v>1.5707963267948966</v>
      </c>
      <c r="AJ32" s="98" t="str">
        <f t="shared" si="39"/>
        <v>1+0.00087869232540793i</v>
      </c>
      <c r="AK32" s="98">
        <f t="shared" si="55"/>
        <v>1.0000003860500268</v>
      </c>
      <c r="AL32" s="98">
        <f t="shared" si="56"/>
        <v>8.7869209926186059E-4</v>
      </c>
      <c r="AM32" s="98" t="str">
        <f t="shared" si="40"/>
        <v>1+0.130098151944221i</v>
      </c>
      <c r="AN32" s="98">
        <f t="shared" si="57"/>
        <v>1.008427255254092</v>
      </c>
      <c r="AO32" s="98">
        <f t="shared" si="58"/>
        <v>0.12937152358039877</v>
      </c>
      <c r="AP32" s="168" t="str">
        <f t="shared" si="59"/>
        <v>-9.96003410250969+77.0872492859791i</v>
      </c>
      <c r="AQ32" s="98">
        <f t="shared" si="60"/>
        <v>37.811552951910805</v>
      </c>
      <c r="AR32" s="169">
        <f t="shared" si="61"/>
        <v>97.36209694155481</v>
      </c>
      <c r="AS32" s="168" t="str">
        <f t="shared" si="62"/>
        <v>2455.33747153328+5109.20603832076i</v>
      </c>
      <c r="AT32" s="190">
        <f t="shared" si="63"/>
        <v>75.069467928137797</v>
      </c>
      <c r="AU32" s="169">
        <f t="shared" si="64"/>
        <v>64.332399379191742</v>
      </c>
      <c r="AV32" s="225"/>
      <c r="AX32">
        <f t="shared" si="65"/>
        <v>0</v>
      </c>
      <c r="AY32">
        <f t="shared" si="66"/>
        <v>0</v>
      </c>
    </row>
    <row r="33" spans="1:51" x14ac:dyDescent="0.25">
      <c r="N33" s="170">
        <v>15</v>
      </c>
      <c r="O33" s="199">
        <f t="shared" si="41"/>
        <v>14.125375446227544</v>
      </c>
      <c r="P33" s="189" t="str">
        <f t="shared" si="32"/>
        <v>87</v>
      </c>
      <c r="Q33" s="160" t="str">
        <f t="shared" si="33"/>
        <v>1+0.665642635965993i</v>
      </c>
      <c r="R33" s="160">
        <f t="shared" si="42"/>
        <v>1.2012826972930875</v>
      </c>
      <c r="S33" s="160">
        <f t="shared" si="43"/>
        <v>0.58729332410879165</v>
      </c>
      <c r="T33" s="160" t="str">
        <f t="shared" si="34"/>
        <v>1+0.000443761757310661i</v>
      </c>
      <c r="U33" s="160">
        <f t="shared" si="44"/>
        <v>1.0000000984622437</v>
      </c>
      <c r="V33" s="160">
        <f t="shared" si="45"/>
        <v>4.4376172818147745E-4</v>
      </c>
      <c r="W33" s="98" t="str">
        <f t="shared" si="35"/>
        <v>1-0.0000628662489523438i</v>
      </c>
      <c r="X33" s="160">
        <f t="shared" si="46"/>
        <v>1.0000000019760826</v>
      </c>
      <c r="Y33" s="160">
        <f t="shared" si="47"/>
        <v>-6.2866248869524534E-5</v>
      </c>
      <c r="Z33" s="98" t="str">
        <f t="shared" si="36"/>
        <v>0.999999998581147+0.000132063498975653i</v>
      </c>
      <c r="AA33" s="160">
        <f t="shared" si="48"/>
        <v>1.0000000073015307</v>
      </c>
      <c r="AB33" s="160">
        <f t="shared" si="49"/>
        <v>1.3206349839526877E-4</v>
      </c>
      <c r="AC33" s="171" t="str">
        <f t="shared" si="50"/>
        <v>60.2977023676146-40.1150731625393i</v>
      </c>
      <c r="AD33" s="190">
        <f t="shared" si="51"/>
        <v>37.197481426410121</v>
      </c>
      <c r="AE33" s="169">
        <f t="shared" si="52"/>
        <v>-33.63517178532814</v>
      </c>
      <c r="AF33" s="98" t="str">
        <f t="shared" si="37"/>
        <v>-0.0000673063927557778</v>
      </c>
      <c r="AG33" s="98" t="str">
        <f t="shared" si="38"/>
        <v>8.93558674520747E-07i</v>
      </c>
      <c r="AH33" s="98">
        <f t="shared" si="53"/>
        <v>8.9355867452074698E-7</v>
      </c>
      <c r="AI33" s="98">
        <f t="shared" si="54"/>
        <v>1.5707963267948966</v>
      </c>
      <c r="AJ33" s="98" t="str">
        <f t="shared" si="39"/>
        <v>1+0.000899159698960815i</v>
      </c>
      <c r="AK33" s="98">
        <f t="shared" si="55"/>
        <v>1.0000004042440005</v>
      </c>
      <c r="AL33" s="98">
        <f t="shared" si="56"/>
        <v>8.9915945664094106E-4</v>
      </c>
      <c r="AM33" s="98" t="str">
        <f t="shared" si="40"/>
        <v>1+0.133128527193198i</v>
      </c>
      <c r="AN33" s="98">
        <f t="shared" si="57"/>
        <v>1.0088226825129529</v>
      </c>
      <c r="AO33" s="98">
        <f t="shared" si="58"/>
        <v>0.1323502981598704</v>
      </c>
      <c r="AP33" s="168" t="str">
        <f t="shared" si="59"/>
        <v>-9.96003374008469+75.3329323341858i</v>
      </c>
      <c r="AQ33" s="98">
        <f t="shared" si="60"/>
        <v>37.614958061130245</v>
      </c>
      <c r="AR33" s="169">
        <f t="shared" si="61"/>
        <v>97.53159545988386</v>
      </c>
      <c r="AS33" s="168" t="str">
        <f t="shared" si="62"/>
        <v>2421.41894210346+4941.95021455124i</v>
      </c>
      <c r="AT33" s="190">
        <f t="shared" si="63"/>
        <v>74.81243948754036</v>
      </c>
      <c r="AU33" s="169">
        <f t="shared" si="64"/>
        <v>63.896423674555713</v>
      </c>
      <c r="AV33" s="225"/>
      <c r="AX33">
        <f t="shared" si="65"/>
        <v>0</v>
      </c>
      <c r="AY33">
        <f t="shared" si="66"/>
        <v>0</v>
      </c>
    </row>
    <row r="34" spans="1:51" x14ac:dyDescent="0.25">
      <c r="N34" s="170">
        <v>16</v>
      </c>
      <c r="O34" s="199">
        <f t="shared" si="41"/>
        <v>14.454397707459275</v>
      </c>
      <c r="P34" s="189" t="str">
        <f t="shared" si="32"/>
        <v>87</v>
      </c>
      <c r="Q34" s="160" t="str">
        <f t="shared" si="33"/>
        <v>1+0.68114744474729i</v>
      </c>
      <c r="R34" s="160">
        <f t="shared" si="42"/>
        <v>1.2099429083579782</v>
      </c>
      <c r="S34" s="160">
        <f t="shared" si="43"/>
        <v>0.59796087077072702</v>
      </c>
      <c r="T34" s="160" t="str">
        <f t="shared" si="34"/>
        <v>1+0.000454098296498192i</v>
      </c>
      <c r="U34" s="160">
        <f t="shared" si="44"/>
        <v>1.0000001031026262</v>
      </c>
      <c r="V34" s="160">
        <f t="shared" si="45"/>
        <v>4.5409826528570963E-4</v>
      </c>
      <c r="W34" s="98" t="str">
        <f t="shared" si="35"/>
        <v>1-0.0000643305920039107i</v>
      </c>
      <c r="X34" s="160">
        <f t="shared" si="46"/>
        <v>1.0000000020692126</v>
      </c>
      <c r="Y34" s="160">
        <f t="shared" si="47"/>
        <v>-6.4330591915168249E-5</v>
      </c>
      <c r="Z34" s="98" t="str">
        <f t="shared" si="36"/>
        <v>0.999999998514278+0.000135139653037862i</v>
      </c>
      <c r="AA34" s="160">
        <f t="shared" si="48"/>
        <v>1.0000000076456408</v>
      </c>
      <c r="AB34" s="160">
        <f t="shared" si="49"/>
        <v>1.3513965241596917E-4</v>
      </c>
      <c r="AC34" s="171" t="str">
        <f t="shared" si="50"/>
        <v>59.4380894450657-40.4639501064233i</v>
      </c>
      <c r="AD34" s="190">
        <f t="shared" si="51"/>
        <v>37.135088330666683</v>
      </c>
      <c r="AE34" s="169">
        <f t="shared" si="52"/>
        <v>-34.246045098183856</v>
      </c>
      <c r="AF34" s="98" t="str">
        <f t="shared" si="37"/>
        <v>-0.0000673063927557778</v>
      </c>
      <c r="AG34" s="98" t="str">
        <f t="shared" si="38"/>
        <v>9.1437232982876E-07i</v>
      </c>
      <c r="AH34" s="98">
        <f t="shared" si="53"/>
        <v>9.1437232982875999E-7</v>
      </c>
      <c r="AI34" s="98">
        <f t="shared" si="54"/>
        <v>1.5707963267948966</v>
      </c>
      <c r="AJ34" s="98" t="str">
        <f t="shared" si="39"/>
        <v>1+0.000920103818887874i</v>
      </c>
      <c r="AK34" s="98">
        <f t="shared" si="55"/>
        <v>1.0000004232954292</v>
      </c>
      <c r="AL34" s="98">
        <f t="shared" si="56"/>
        <v>9.2010355923745693E-4</v>
      </c>
      <c r="AM34" s="98" t="str">
        <f t="shared" si="40"/>
        <v>1+0.136229488949458i</v>
      </c>
      <c r="AN34" s="98">
        <f t="shared" si="57"/>
        <v>1.009236579628102</v>
      </c>
      <c r="AO34" s="98">
        <f t="shared" si="58"/>
        <v>0.13539601314547936</v>
      </c>
      <c r="AP34" s="168" t="str">
        <f t="shared" si="59"/>
        <v>-9.96003336057914+73.6185579002351i</v>
      </c>
      <c r="AQ34" s="98">
        <f t="shared" si="60"/>
        <v>37.418520788755558</v>
      </c>
      <c r="AR34" s="169">
        <f t="shared" si="61"/>
        <v>97.704902065474499</v>
      </c>
      <c r="AS34" s="168" t="str">
        <f t="shared" si="62"/>
        <v>2386.89230002001+4778.76872225171i</v>
      </c>
      <c r="AT34" s="190">
        <f t="shared" si="63"/>
        <v>74.553609119422248</v>
      </c>
      <c r="AU34" s="169">
        <f t="shared" si="64"/>
        <v>63.458856967290636</v>
      </c>
      <c r="AV34" s="225"/>
      <c r="AX34">
        <f t="shared" si="65"/>
        <v>0</v>
      </c>
      <c r="AY34">
        <f t="shared" si="66"/>
        <v>0</v>
      </c>
    </row>
    <row r="35" spans="1:51" x14ac:dyDescent="0.25">
      <c r="A35" s="98" t="s">
        <v>235</v>
      </c>
      <c r="B35" s="208">
        <f>IF(Dc_Mode_Loop="CCM",(Gcomp*(VIN_var/VOUT)*(VOUT/IOUT))/(2*R_cs*Acs),K35*K37)</f>
        <v>86.999999999999986</v>
      </c>
      <c r="C35" s="98" t="s">
        <v>180</v>
      </c>
      <c r="E35" s="98" t="s">
        <v>239</v>
      </c>
      <c r="J35" s="98" t="s">
        <v>546</v>
      </c>
      <c r="K35" s="98">
        <f>Fsw/((1+B45/B46)*B46)</f>
        <v>10.519801980198022</v>
      </c>
      <c r="N35" s="170">
        <v>17</v>
      </c>
      <c r="O35" s="199">
        <f t="shared" si="41"/>
        <v>14.791083881682074</v>
      </c>
      <c r="P35" s="189" t="str">
        <f t="shared" si="32"/>
        <v>87</v>
      </c>
      <c r="Q35" s="160" t="str">
        <f t="shared" si="33"/>
        <v>1+0.697013406919844i</v>
      </c>
      <c r="R35" s="160">
        <f t="shared" si="42"/>
        <v>1.2189453184724932</v>
      </c>
      <c r="S35" s="160">
        <f t="shared" si="43"/>
        <v>0.60871872584392106</v>
      </c>
      <c r="T35" s="160" t="str">
        <f t="shared" si="34"/>
        <v>1+0.000464675604613228i</v>
      </c>
      <c r="U35" s="160">
        <f t="shared" si="44"/>
        <v>1.0000001079617029</v>
      </c>
      <c r="V35" s="160">
        <f t="shared" si="45"/>
        <v>4.6467557116845076E-4</v>
      </c>
      <c r="W35" s="98" t="str">
        <f t="shared" si="35"/>
        <v>1-0.0000658290439868741i</v>
      </c>
      <c r="X35" s="160">
        <f t="shared" si="46"/>
        <v>1.0000000021667315</v>
      </c>
      <c r="Y35" s="160">
        <f t="shared" si="47"/>
        <v>-6.5829043891784856E-5</v>
      </c>
      <c r="Z35" s="98" t="str">
        <f t="shared" si="36"/>
        <v>0.999999998444258+0.000138287459932897i</v>
      </c>
      <c r="AA35" s="160">
        <f t="shared" si="48"/>
        <v>1.0000000080059688</v>
      </c>
      <c r="AB35" s="160">
        <f t="shared" si="49"/>
        <v>1.3828745926652684E-4</v>
      </c>
      <c r="AC35" s="171" t="str">
        <f t="shared" si="50"/>
        <v>58.5638610030791-40.797127639161i</v>
      </c>
      <c r="AD35" s="190">
        <f t="shared" si="51"/>
        <v>37.070701464737297</v>
      </c>
      <c r="AE35" s="169">
        <f t="shared" si="52"/>
        <v>-34.862084966526865</v>
      </c>
      <c r="AF35" s="98" t="str">
        <f t="shared" si="37"/>
        <v>-0.0000673063927557778</v>
      </c>
      <c r="AG35" s="98" t="str">
        <f t="shared" si="38"/>
        <v>9.35670797449196E-07i</v>
      </c>
      <c r="AH35" s="98">
        <f t="shared" si="53"/>
        <v>9.3567079744919602E-7</v>
      </c>
      <c r="AI35" s="98">
        <f t="shared" si="54"/>
        <v>1.5707963267948966</v>
      </c>
      <c r="AJ35" s="98" t="str">
        <f t="shared" si="39"/>
        <v>1+0.000941535790038721i</v>
      </c>
      <c r="AK35" s="98">
        <f t="shared" si="55"/>
        <v>1.0000004432447238</v>
      </c>
      <c r="AL35" s="98">
        <f t="shared" si="56"/>
        <v>9.4153551181829322E-4</v>
      </c>
      <c r="AM35" s="98" t="str">
        <f t="shared" si="40"/>
        <v>1+0.139402681383968i</v>
      </c>
      <c r="AN35" s="98">
        <f t="shared" si="57"/>
        <v>1.0096698012603131</v>
      </c>
      <c r="AO35" s="98">
        <f t="shared" si="58"/>
        <v>0.13851005727059307</v>
      </c>
      <c r="AP35" s="168" t="str">
        <f t="shared" si="59"/>
        <v>-9.960032963188+71.9432170001071i</v>
      </c>
      <c r="AQ35" s="98">
        <f t="shared" si="60"/>
        <v>37.222248292382559</v>
      </c>
      <c r="AR35" s="169">
        <f t="shared" si="61"/>
        <v>97.882095690631417</v>
      </c>
      <c r="AS35" s="168" t="str">
        <f t="shared" si="62"/>
        <v>2351.778620683+4619.61329659806i</v>
      </c>
      <c r="AT35" s="190">
        <f t="shared" si="63"/>
        <v>74.292949757119857</v>
      </c>
      <c r="AU35" s="169">
        <f t="shared" si="64"/>
        <v>63.02001072410453</v>
      </c>
      <c r="AV35" s="225"/>
      <c r="AX35">
        <f t="shared" si="65"/>
        <v>0</v>
      </c>
      <c r="AY35">
        <f t="shared" si="66"/>
        <v>0</v>
      </c>
    </row>
    <row r="36" spans="1:51" x14ac:dyDescent="0.25">
      <c r="A36" s="98" t="s">
        <v>252</v>
      </c>
      <c r="B36" s="209">
        <f>IF(Dc_Mode_Loop="CCM",2/(Cout*(VOUT/IOUT)),(2*B20/B17-1)/(Cout*(VOUT/IOUT)*(B20/B17-1)))</f>
        <v>133.33333333333334</v>
      </c>
      <c r="C36" s="98" t="s">
        <v>251</v>
      </c>
      <c r="E36" s="98" t="s">
        <v>242</v>
      </c>
      <c r="J36" s="98" t="s">
        <v>547</v>
      </c>
      <c r="K36" s="98">
        <f>(1+SQRT(1+2*(Dc_DCM_VIN_nom^2)/K38))/2</f>
        <v>1.25</v>
      </c>
      <c r="N36" s="170">
        <v>18</v>
      </c>
      <c r="O36" s="199">
        <f t="shared" si="41"/>
        <v>15.135612484362087</v>
      </c>
      <c r="P36" s="189" t="str">
        <f t="shared" si="32"/>
        <v>87</v>
      </c>
      <c r="Q36" s="160" t="str">
        <f t="shared" si="33"/>
        <v>1+0.71324893482681i</v>
      </c>
      <c r="R36" s="160">
        <f t="shared" si="42"/>
        <v>1.2283012834934184</v>
      </c>
      <c r="S36" s="160">
        <f t="shared" si="43"/>
        <v>0.61956263315148197</v>
      </c>
      <c r="T36" s="160" t="str">
        <f t="shared" si="34"/>
        <v>1+0.000475499289884539i</v>
      </c>
      <c r="U36" s="160">
        <f t="shared" si="44"/>
        <v>1.0000001130497809</v>
      </c>
      <c r="V36" s="160">
        <f t="shared" si="45"/>
        <v>4.7549925404781479E-4</v>
      </c>
      <c r="W36" s="98" t="str">
        <f t="shared" si="35"/>
        <v>1-0.0000673623994003098i</v>
      </c>
      <c r="X36" s="160">
        <f t="shared" si="46"/>
        <v>1.0000000022688464</v>
      </c>
      <c r="Y36" s="160">
        <f t="shared" si="47"/>
        <v>-6.7362399298419846E-5</v>
      </c>
      <c r="Z36" s="98" t="str">
        <f t="shared" si="36"/>
        <v>0.999999998370939+0.000141508588669639i</v>
      </c>
      <c r="AA36" s="160">
        <f t="shared" si="48"/>
        <v>1.0000000083832792</v>
      </c>
      <c r="AB36" s="160">
        <f t="shared" si="49"/>
        <v>1.4150858795561037E-4</v>
      </c>
      <c r="AC36" s="171" t="str">
        <f t="shared" si="50"/>
        <v>57.6755912434002-41.113857358445i</v>
      </c>
      <c r="AD36" s="190">
        <f t="shared" si="51"/>
        <v>37.004287868059905</v>
      </c>
      <c r="AE36" s="169">
        <f t="shared" si="52"/>
        <v>-35.483047349205904</v>
      </c>
      <c r="AF36" s="98" t="str">
        <f t="shared" si="37"/>
        <v>-0.0000673063927557778</v>
      </c>
      <c r="AG36" s="98" t="str">
        <f t="shared" si="38"/>
        <v>9.57465370111507E-07i</v>
      </c>
      <c r="AH36" s="98">
        <f t="shared" si="53"/>
        <v>9.5746537011150691E-7</v>
      </c>
      <c r="AI36" s="98">
        <f t="shared" si="54"/>
        <v>1.5707963267948966</v>
      </c>
      <c r="AJ36" s="98" t="str">
        <f t="shared" si="39"/>
        <v>1+0.000963466975928148i</v>
      </c>
      <c r="AK36" s="98">
        <f t="shared" si="55"/>
        <v>1.0000004641341991</v>
      </c>
      <c r="AL36" s="98">
        <f t="shared" si="56"/>
        <v>9.6346667780959606E-4</v>
      </c>
      <c r="AM36" s="98" t="str">
        <f t="shared" si="40"/>
        <v>1+0.142649786965362i</v>
      </c>
      <c r="AN36" s="98">
        <f t="shared" si="57"/>
        <v>1.010123240857898</v>
      </c>
      <c r="AO36" s="98">
        <f t="shared" si="58"/>
        <v>0.14169383993372967</v>
      </c>
      <c r="AP36" s="168" t="str">
        <f t="shared" si="59"/>
        <v>-9.96003254706851+70.3060213458778i</v>
      </c>
      <c r="AQ36" s="98">
        <f t="shared" si="60"/>
        <v>37.026148041561711</v>
      </c>
      <c r="AR36" s="169">
        <f t="shared" si="61"/>
        <v>98.063256436864961</v>
      </c>
      <c r="AS36" s="168" t="str">
        <f t="shared" si="62"/>
        <v>2316.10096709852+4464.43670652026i</v>
      </c>
      <c r="AT36" s="190">
        <f t="shared" si="63"/>
        <v>74.030435909621616</v>
      </c>
      <c r="AU36" s="169">
        <f t="shared" si="64"/>
        <v>62.5802090876591</v>
      </c>
      <c r="AV36" s="225"/>
      <c r="AX36">
        <f t="shared" si="65"/>
        <v>0</v>
      </c>
      <c r="AY36">
        <f t="shared" si="66"/>
        <v>0</v>
      </c>
    </row>
    <row r="37" spans="1:51" x14ac:dyDescent="0.25">
      <c r="B37" s="210">
        <f>wp_lf/(2*PI())</f>
        <v>21.220659078919379</v>
      </c>
      <c r="C37" s="98" t="s">
        <v>69</v>
      </c>
      <c r="J37" s="98" t="s">
        <v>548</v>
      </c>
      <c r="K37" s="98">
        <f>2*VOUT/Dc_DCM_VIN_nom*(K36-1)/(2*K36-1)</f>
        <v>21.693045781865621</v>
      </c>
      <c r="N37" s="170">
        <v>19</v>
      </c>
      <c r="O37" s="199">
        <f t="shared" si="41"/>
        <v>15.488166189124817</v>
      </c>
      <c r="P37" s="189" t="str">
        <f t="shared" si="32"/>
        <v>87</v>
      </c>
      <c r="Q37" s="160" t="str">
        <f t="shared" si="33"/>
        <v>1+0.729862636759987i</v>
      </c>
      <c r="R37" s="160">
        <f t="shared" si="42"/>
        <v>1.238022402276405</v>
      </c>
      <c r="S37" s="160">
        <f t="shared" si="43"/>
        <v>0.63048814130659425</v>
      </c>
      <c r="T37" s="160" t="str">
        <f t="shared" si="34"/>
        <v>1+0.000486575091173324i</v>
      </c>
      <c r="U37" s="160">
        <f t="shared" si="44"/>
        <v>1.0000001183776526</v>
      </c>
      <c r="V37" s="160">
        <f t="shared" si="45"/>
        <v>4.8657505277358243E-4</v>
      </c>
      <c r="W37" s="98" t="str">
        <f t="shared" si="35"/>
        <v>1-0.0000689314712495543i</v>
      </c>
      <c r="X37" s="160">
        <f t="shared" si="46"/>
        <v>1.0000000023757738</v>
      </c>
      <c r="Y37" s="160">
        <f t="shared" si="47"/>
        <v>-6.8931471140377235E-5</v>
      </c>
      <c r="Z37" s="98" t="str">
        <f t="shared" si="36"/>
        <v>0.999999998294163+0.000144804747133181i</v>
      </c>
      <c r="AA37" s="160">
        <f t="shared" si="48"/>
        <v>1.0000000087783703</v>
      </c>
      <c r="AB37" s="160">
        <f t="shared" si="49"/>
        <v>1.4480474636808564E-4</v>
      </c>
      <c r="AC37" s="171" t="str">
        <f t="shared" si="50"/>
        <v>56.7739031854685-41.4134136970707i</v>
      </c>
      <c r="AD37" s="190">
        <f t="shared" si="51"/>
        <v>36.93581595686684</v>
      </c>
      <c r="AE37" s="169">
        <f t="shared" si="52"/>
        <v>-36.108677016167725</v>
      </c>
      <c r="AF37" s="98" t="str">
        <f t="shared" si="37"/>
        <v>-0.0000673063927557778</v>
      </c>
      <c r="AG37" s="98" t="str">
        <f t="shared" si="38"/>
        <v>9.79767603586604E-07i</v>
      </c>
      <c r="AH37" s="98">
        <f t="shared" si="53"/>
        <v>9.7976760358660402E-7</v>
      </c>
      <c r="AI37" s="98">
        <f t="shared" si="54"/>
        <v>1.5707963267948966</v>
      </c>
      <c r="AJ37" s="98" t="str">
        <f t="shared" si="39"/>
        <v>1+0.000985909004761203i</v>
      </c>
      <c r="AK37" s="98">
        <f t="shared" si="55"/>
        <v>1.0000004860081648</v>
      </c>
      <c r="AL37" s="98">
        <f t="shared" si="56"/>
        <v>9.8590868532142761E-4</v>
      </c>
      <c r="AM37" s="98" t="str">
        <f t="shared" si="40"/>
        <v>1+0.145972527351997i</v>
      </c>
      <c r="AN37" s="98">
        <f t="shared" si="57"/>
        <v>1.0105978323455527</v>
      </c>
      <c r="AO37" s="98">
        <f t="shared" si="58"/>
        <v>0.14494879090477741</v>
      </c>
      <c r="AP37" s="168" t="str">
        <f t="shared" si="59"/>
        <v>-9.9600321113379+68.7061028747387i</v>
      </c>
      <c r="AQ37" s="98">
        <f t="shared" si="60"/>
        <v>36.830227830160119</v>
      </c>
      <c r="AR37" s="169">
        <f t="shared" si="61"/>
        <v>98.248465557713814</v>
      </c>
      <c r="AS37" s="168" t="str">
        <f t="shared" si="62"/>
        <v>2279.8843630518+4313.1925631242i</v>
      </c>
      <c r="AT37" s="190">
        <f t="shared" si="63"/>
        <v>73.766043787026959</v>
      </c>
      <c r="AU37" s="169">
        <f t="shared" si="64"/>
        <v>62.139788541546075</v>
      </c>
      <c r="AV37" s="225"/>
      <c r="AX37">
        <f t="shared" si="65"/>
        <v>0</v>
      </c>
      <c r="AY37">
        <f t="shared" si="66"/>
        <v>0</v>
      </c>
    </row>
    <row r="38" spans="1:51" x14ac:dyDescent="0.25">
      <c r="B38" s="211"/>
      <c r="C38" s="98" t="s">
        <v>275</v>
      </c>
      <c r="E38" s="98" t="s">
        <v>274</v>
      </c>
      <c r="J38" s="98" t="s">
        <v>549</v>
      </c>
      <c r="K38" s="98">
        <f>(Lm*Fsw/(VOUT/IOUT))</f>
        <v>0.33999999999999997</v>
      </c>
      <c r="N38" s="170">
        <v>20</v>
      </c>
      <c r="O38" s="199">
        <f t="shared" si="41"/>
        <v>15.848931924611136</v>
      </c>
      <c r="P38" s="189" t="str">
        <f t="shared" si="32"/>
        <v>87</v>
      </c>
      <c r="Q38" s="160" t="str">
        <f t="shared" si="33"/>
        <v>1+0.746863321524048i</v>
      </c>
      <c r="R38" s="160">
        <f t="shared" si="42"/>
        <v>1.2481205154302744</v>
      </c>
      <c r="S38" s="160">
        <f t="shared" si="43"/>
        <v>0.6414906102554877</v>
      </c>
      <c r="T38" s="160" t="str">
        <f t="shared" si="34"/>
        <v>1+0.000497908881016031i</v>
      </c>
      <c r="U38" s="160">
        <f t="shared" si="44"/>
        <v>1.0000001239566192</v>
      </c>
      <c r="V38" s="160">
        <f t="shared" si="45"/>
        <v>4.979088398699669E-4</v>
      </c>
      <c r="W38" s="98" t="str">
        <f t="shared" si="35"/>
        <v>1-0.0000705370914772712i</v>
      </c>
      <c r="X38" s="160">
        <f t="shared" si="46"/>
        <v>1.0000000024877407</v>
      </c>
      <c r="Y38" s="160">
        <f t="shared" si="47"/>
        <v>-7.0537091360285879E-5</v>
      </c>
      <c r="Z38" s="98" t="str">
        <f t="shared" si="36"/>
        <v>0.99999999821377+0.000148177682990371i</v>
      </c>
      <c r="AA38" s="160">
        <f t="shared" si="48"/>
        <v>1.0000000091920829</v>
      </c>
      <c r="AB38" s="160">
        <f t="shared" si="49"/>
        <v>1.4817768217055647E-4</v>
      </c>
      <c r="AC38" s="171" t="str">
        <f t="shared" si="50"/>
        <v>55.8594676689587-41.6950976754997i</v>
      </c>
      <c r="AD38" s="190">
        <f t="shared" si="51"/>
        <v>36.865255635368527</v>
      </c>
      <c r="AE38" s="169">
        <f t="shared" si="52"/>
        <v>-36.738707923244732</v>
      </c>
      <c r="AF38" s="98" t="str">
        <f t="shared" si="37"/>
        <v>-0.0000673063927557778</v>
      </c>
      <c r="AG38" s="98" t="str">
        <f t="shared" si="38"/>
        <v>1.00258932281388E-06i</v>
      </c>
      <c r="AH38" s="98">
        <f t="shared" si="53"/>
        <v>1.00258932281388E-6</v>
      </c>
      <c r="AI38" s="98">
        <f t="shared" si="54"/>
        <v>1.5707963267948966</v>
      </c>
      <c r="AJ38" s="98" t="str">
        <f t="shared" si="39"/>
        <v>1+0.00100887377559863i</v>
      </c>
      <c r="AK38" s="98">
        <f t="shared" si="55"/>
        <v>1.0000005089130179</v>
      </c>
      <c r="AL38" s="98">
        <f t="shared" si="56"/>
        <v>1.0088734333127533E-3</v>
      </c>
      <c r="AM38" s="98" t="str">
        <f t="shared" si="40"/>
        <v>1+0.149372664304809i</v>
      </c>
      <c r="AN38" s="98">
        <f t="shared" si="57"/>
        <v>1.0110945518800489</v>
      </c>
      <c r="AO38" s="98">
        <f t="shared" si="58"/>
        <v>0.1482763599759753</v>
      </c>
      <c r="AP38" s="168" t="str">
        <f t="shared" si="59"/>
        <v>-9.96003165507197+67.1426132887362i</v>
      </c>
      <c r="AQ38" s="98">
        <f t="shared" si="60"/>
        <v>36.63449578909534</v>
      </c>
      <c r="AR38" s="169">
        <f t="shared" si="61"/>
        <v>98.437805438394236</v>
      </c>
      <c r="AS38" s="168" t="str">
        <f t="shared" si="62"/>
        <v>2243.15575304386+4165.83512892085i</v>
      </c>
      <c r="AT38" s="190">
        <f t="shared" si="63"/>
        <v>73.499751424463852</v>
      </c>
      <c r="AU38" s="169">
        <f t="shared" si="64"/>
        <v>61.699097515149525</v>
      </c>
      <c r="AV38" s="225"/>
      <c r="AX38">
        <f t="shared" si="65"/>
        <v>0</v>
      </c>
      <c r="AY38">
        <f t="shared" si="66"/>
        <v>0</v>
      </c>
    </row>
    <row r="39" spans="1:51" x14ac:dyDescent="0.25">
      <c r="A39" s="98" t="s">
        <v>253</v>
      </c>
      <c r="B39" s="209">
        <f>((VOUT/IOUT)*((VIN_var/VOUT)^2))/(Lm)</f>
        <v>1411764.7058823532</v>
      </c>
      <c r="C39" s="98" t="s">
        <v>251</v>
      </c>
      <c r="E39" s="98" t="s">
        <v>243</v>
      </c>
      <c r="N39" s="170">
        <v>21</v>
      </c>
      <c r="O39" s="199">
        <f t="shared" si="41"/>
        <v>16.218100973589298</v>
      </c>
      <c r="P39" s="189" t="str">
        <f t="shared" si="32"/>
        <v>87</v>
      </c>
      <c r="Q39" s="160" t="str">
        <f t="shared" si="33"/>
        <v>1+0.764260003107084i</v>
      </c>
      <c r="R39" s="160">
        <f t="shared" si="42"/>
        <v>1.2586077039130341</v>
      </c>
      <c r="S39" s="160">
        <f t="shared" si="43"/>
        <v>0.65256521881076346</v>
      </c>
      <c r="T39" s="160" t="str">
        <f t="shared" si="34"/>
        <v>1+0.000509506668738055i</v>
      </c>
      <c r="U39" s="160">
        <f t="shared" si="44"/>
        <v>1.0000001297985144</v>
      </c>
      <c r="V39" s="160">
        <f t="shared" si="45"/>
        <v>5.0950662464925329E-4</v>
      </c>
      <c r="W39" s="98" t="str">
        <f t="shared" si="35"/>
        <v>1-0.0000721801114045579i</v>
      </c>
      <c r="X39" s="160">
        <f t="shared" si="46"/>
        <v>1.0000000026049842</v>
      </c>
      <c r="Y39" s="160">
        <f t="shared" si="47"/>
        <v>-7.2180111279205865E-5</v>
      </c>
      <c r="Z39" s="98" t="str">
        <f t="shared" si="36"/>
        <v>0.999999998129587+0.000151629184616445i</v>
      </c>
      <c r="AA39" s="160">
        <f t="shared" si="48"/>
        <v>1.0000000096252917</v>
      </c>
      <c r="AB39" s="160">
        <f t="shared" si="49"/>
        <v>1.5162918373799801E-4</v>
      </c>
      <c r="AC39" s="171" t="str">
        <f t="shared" si="50"/>
        <v>54.9330020208622-41.958240624754i</v>
      </c>
      <c r="AD39" s="190">
        <f t="shared" si="51"/>
        <v>36.792578404258322</v>
      </c>
      <c r="AE39" s="169">
        <f t="shared" si="52"/>
        <v>-37.372863643681747</v>
      </c>
      <c r="AF39" s="98" t="str">
        <f t="shared" si="37"/>
        <v>-0.0000673063927557778</v>
      </c>
      <c r="AG39" s="98" t="str">
        <f t="shared" si="38"/>
        <v>1.02594262817095E-06i</v>
      </c>
      <c r="AH39" s="98">
        <f t="shared" si="53"/>
        <v>1.0259426281709499E-6</v>
      </c>
      <c r="AI39" s="98">
        <f t="shared" si="54"/>
        <v>1.5707963267948966</v>
      </c>
      <c r="AJ39" s="98" t="str">
        <f t="shared" si="39"/>
        <v>1+0.0010323734646659i</v>
      </c>
      <c r="AK39" s="98">
        <f t="shared" si="55"/>
        <v>1.0000005328973434</v>
      </c>
      <c r="AL39" s="98">
        <f t="shared" si="56"/>
        <v>1.0323730978999857E-3</v>
      </c>
      <c r="AM39" s="98" t="str">
        <f t="shared" si="40"/>
        <v>1+0.152852000621416i</v>
      </c>
      <c r="AN39" s="98">
        <f t="shared" si="57"/>
        <v>1.0116144196747936</v>
      </c>
      <c r="AO39" s="98">
        <f t="shared" si="58"/>
        <v>0.15167801655366558</v>
      </c>
      <c r="AP39" s="168" t="str">
        <f t="shared" si="59"/>
        <v>-9.96003117730292+65.6147236049935i</v>
      </c>
      <c r="AQ39" s="98">
        <f t="shared" si="60"/>
        <v>36.438960399441115</v>
      </c>
      <c r="AR39" s="169">
        <f t="shared" si="61"/>
        <v>98.631359572047984</v>
      </c>
      <c r="AS39" s="168" t="str">
        <f t="shared" si="62"/>
        <v>2205.94394875441+4022.31912915875i</v>
      </c>
      <c r="AT39" s="190">
        <f t="shared" si="63"/>
        <v>73.231538803699436</v>
      </c>
      <c r="AU39" s="169">
        <f t="shared" si="64"/>
        <v>61.258495928366266</v>
      </c>
      <c r="AV39" s="225"/>
      <c r="AX39">
        <f t="shared" si="65"/>
        <v>0</v>
      </c>
      <c r="AY39">
        <f t="shared" si="66"/>
        <v>0</v>
      </c>
    </row>
    <row r="40" spans="1:51" x14ac:dyDescent="0.25">
      <c r="B40" s="211">
        <f>wz_rhp/(2*PI())</f>
        <v>224689.3314238523</v>
      </c>
      <c r="C40" s="98" t="s">
        <v>69</v>
      </c>
      <c r="N40" s="170">
        <v>22</v>
      </c>
      <c r="O40" s="199">
        <f t="shared" si="41"/>
        <v>16.595869074375614</v>
      </c>
      <c r="P40" s="189" t="str">
        <f t="shared" si="32"/>
        <v>87</v>
      </c>
      <c r="Q40" s="160" t="str">
        <f t="shared" si="33"/>
        <v>1+0.782061905459949i</v>
      </c>
      <c r="R40" s="160">
        <f t="shared" si="42"/>
        <v>1.2694962874981739</v>
      </c>
      <c r="S40" s="160">
        <f t="shared" si="43"/>
        <v>0.66370697316273974</v>
      </c>
      <c r="T40" s="160" t="str">
        <f t="shared" si="34"/>
        <v>1+0.000521374603639965i</v>
      </c>
      <c r="U40" s="160">
        <f t="shared" si="44"/>
        <v>1.0000001359157293</v>
      </c>
      <c r="V40" s="160">
        <f t="shared" si="45"/>
        <v>5.2137455639796309E-4</v>
      </c>
      <c r="W40" s="98" t="str">
        <f t="shared" si="35"/>
        <v>1-0.0000738614021823285i</v>
      </c>
      <c r="X40" s="160">
        <f t="shared" si="46"/>
        <v>1.0000000027277534</v>
      </c>
      <c r="Y40" s="160">
        <f t="shared" si="47"/>
        <v>-7.3861402048011368E-5</v>
      </c>
      <c r="Z40" s="98" t="str">
        <f t="shared" si="36"/>
        <v>0.999999998041437+0.000155161082043254i</v>
      </c>
      <c r="AA40" s="160">
        <f t="shared" si="48"/>
        <v>1.0000000100789177</v>
      </c>
      <c r="AB40" s="160">
        <f t="shared" si="49"/>
        <v>1.551610811019811E-4</v>
      </c>
      <c r="AC40" s="171" t="str">
        <f t="shared" si="50"/>
        <v>53.9952683848431-42.2022078455915i</v>
      </c>
      <c r="AD40" s="190">
        <f t="shared" si="51"/>
        <v>36.717757465763867</v>
      </c>
      <c r="AE40" s="169">
        <f t="shared" si="52"/>
        <v>-38.010857855698589</v>
      </c>
      <c r="AF40" s="98" t="str">
        <f t="shared" si="37"/>
        <v>-0.0000673063927557778</v>
      </c>
      <c r="AG40" s="98" t="str">
        <f t="shared" si="38"/>
        <v>1.04983990188943E-06i</v>
      </c>
      <c r="AH40" s="98">
        <f t="shared" si="53"/>
        <v>1.04983990188943E-6</v>
      </c>
      <c r="AI40" s="98">
        <f t="shared" si="54"/>
        <v>1.5707963267948966</v>
      </c>
      <c r="AJ40" s="98" t="str">
        <f t="shared" si="39"/>
        <v>1+0.00105642053180923i</v>
      </c>
      <c r="AK40" s="98">
        <f t="shared" si="55"/>
        <v>1.0000005580120144</v>
      </c>
      <c r="AL40" s="98">
        <f t="shared" si="56"/>
        <v>1.0564201388124843E-3</v>
      </c>
      <c r="AM40" s="98" t="str">
        <f t="shared" si="40"/>
        <v>1+0.156412381091989i</v>
      </c>
      <c r="AN40" s="98">
        <f t="shared" si="57"/>
        <v>1.0121585018952644</v>
      </c>
      <c r="AO40" s="98">
        <f t="shared" si="58"/>
        <v>0.15515524918669693</v>
      </c>
      <c r="AP40" s="168" t="str">
        <f t="shared" si="59"/>
        <v>-9.9600306770174+64.1216237161734i</v>
      </c>
      <c r="AQ40" s="98">
        <f t="shared" si="60"/>
        <v>36.24363050590263</v>
      </c>
      <c r="AR40" s="169">
        <f t="shared" si="61"/>
        <v>98.829212532351718</v>
      </c>
      <c r="AS40" s="168" t="str">
        <f t="shared" si="62"/>
        <v>2168.27956193993+3882.59956660666i</v>
      </c>
      <c r="AT40" s="190">
        <f t="shared" si="63"/>
        <v>72.961387971666497</v>
      </c>
      <c r="AU40" s="169">
        <f t="shared" si="64"/>
        <v>60.8183546766532</v>
      </c>
      <c r="AV40" s="225"/>
      <c r="AX40">
        <f t="shared" si="65"/>
        <v>0</v>
      </c>
      <c r="AY40">
        <f t="shared" si="66"/>
        <v>0</v>
      </c>
    </row>
    <row r="41" spans="1:51" x14ac:dyDescent="0.25">
      <c r="B41" s="211"/>
      <c r="N41" s="170">
        <v>23</v>
      </c>
      <c r="O41" s="199">
        <f t="shared" si="41"/>
        <v>16.982436524617448</v>
      </c>
      <c r="P41" s="189" t="str">
        <f t="shared" si="32"/>
        <v>87</v>
      </c>
      <c r="Q41" s="160" t="str">
        <f t="shared" si="33"/>
        <v>1+0.800278467386897i</v>
      </c>
      <c r="R41" s="160">
        <f t="shared" si="42"/>
        <v>1.2807988231424641</v>
      </c>
      <c r="S41" s="160">
        <f t="shared" si="43"/>
        <v>0.6749107163473187</v>
      </c>
      <c r="T41" s="160" t="str">
        <f t="shared" si="34"/>
        <v>1+0.00053351897825793i</v>
      </c>
      <c r="U41" s="160">
        <f t="shared" si="44"/>
        <v>1.0000001423212399</v>
      </c>
      <c r="V41" s="160">
        <f t="shared" si="45"/>
        <v>5.3351892763721343E-4</v>
      </c>
      <c r="W41" s="98" t="str">
        <f t="shared" si="35"/>
        <v>1-0.0000755818552532069i</v>
      </c>
      <c r="X41" s="160">
        <f t="shared" si="46"/>
        <v>1.0000000028563083</v>
      </c>
      <c r="Y41" s="160">
        <f t="shared" si="47"/>
        <v>-7.5581855109283506E-5</v>
      </c>
      <c r="Z41" s="98" t="str">
        <f t="shared" si="36"/>
        <v>0.999999997949133+0.00015877524792956i</v>
      </c>
      <c r="AA41" s="160">
        <f t="shared" si="48"/>
        <v>1.0000000105539226</v>
      </c>
      <c r="AB41" s="160">
        <f t="shared" si="49"/>
        <v>1.5877524692096785E-4</v>
      </c>
      <c r="AC41" s="171" t="str">
        <f t="shared" si="50"/>
        <v>53.0470717144839-42.4264021690866i</v>
      </c>
      <c r="AD41" s="190">
        <f t="shared" si="51"/>
        <v>36.640767824469137</v>
      </c>
      <c r="AE41" s="169">
        <f t="shared" si="52"/>
        <v>-38.652394884853742</v>
      </c>
      <c r="AF41" s="98" t="str">
        <f t="shared" si="37"/>
        <v>-0.0000673063927557778</v>
      </c>
      <c r="AG41" s="98" t="str">
        <f t="shared" si="38"/>
        <v>1.07429381462017E-06i</v>
      </c>
      <c r="AH41" s="98">
        <f t="shared" si="53"/>
        <v>1.07429381462017E-6</v>
      </c>
      <c r="AI41" s="98">
        <f t="shared" si="54"/>
        <v>1.5707963267948966</v>
      </c>
      <c r="AJ41" s="98" t="str">
        <f t="shared" si="39"/>
        <v>1+0.00108102772710188i</v>
      </c>
      <c r="AK41" s="98">
        <f t="shared" si="55"/>
        <v>1.0000005843103026</v>
      </c>
      <c r="AL41" s="98">
        <f t="shared" si="56"/>
        <v>1.0810273059982934E-3</v>
      </c>
      <c r="AM41" s="98" t="str">
        <f t="shared" si="40"/>
        <v>1+0.160055693477379i</v>
      </c>
      <c r="AN41" s="98">
        <f t="shared" si="57"/>
        <v>1.0127279126273379</v>
      </c>
      <c r="AO41" s="98">
        <f t="shared" si="58"/>
        <v>0.1587095650271132</v>
      </c>
      <c r="AP41" s="168" t="str">
        <f t="shared" si="59"/>
        <v>-9.96003015315418+62.6625219609475i</v>
      </c>
      <c r="AQ41" s="98">
        <f t="shared" si="60"/>
        <v>36.048515330657416</v>
      </c>
      <c r="AR41" s="169">
        <f t="shared" si="61"/>
        <v>99.031449942238567</v>
      </c>
      <c r="AS41" s="168" t="str">
        <f t="shared" si="62"/>
        <v>2130.19492383159+3746.63154116675i</v>
      </c>
      <c r="AT41" s="190">
        <f t="shared" si="63"/>
        <v>72.689283155126546</v>
      </c>
      <c r="AU41" s="169">
        <f t="shared" si="64"/>
        <v>60.37905505738479</v>
      </c>
      <c r="AV41" s="225"/>
      <c r="AX41">
        <f t="shared" si="65"/>
        <v>0</v>
      </c>
      <c r="AY41">
        <f t="shared" si="66"/>
        <v>0</v>
      </c>
    </row>
    <row r="42" spans="1:51" x14ac:dyDescent="0.25">
      <c r="A42" s="98" t="s">
        <v>254</v>
      </c>
      <c r="B42" s="209">
        <f>1/(Cout*Resr)</f>
        <v>199999.99999999997</v>
      </c>
      <c r="C42" s="98" t="s">
        <v>251</v>
      </c>
      <c r="E42" s="98" t="s">
        <v>244</v>
      </c>
      <c r="N42" s="170">
        <v>24</v>
      </c>
      <c r="O42" s="199">
        <f t="shared" si="41"/>
        <v>17.378008287493756</v>
      </c>
      <c r="P42" s="189" t="str">
        <f t="shared" si="32"/>
        <v>87</v>
      </c>
      <c r="Q42" s="160" t="str">
        <f t="shared" si="33"/>
        <v>1+0.818919347550197i</v>
      </c>
      <c r="R42" s="160">
        <f t="shared" si="42"/>
        <v>1.2925281032890699</v>
      </c>
      <c r="S42" s="160">
        <f t="shared" si="43"/>
        <v>0.68617113863966861</v>
      </c>
      <c r="T42" s="160" t="str">
        <f t="shared" si="34"/>
        <v>1+0.00054594623170013i</v>
      </c>
      <c r="U42" s="160">
        <f t="shared" si="44"/>
        <v>1.0000001490286328</v>
      </c>
      <c r="V42" s="160">
        <f t="shared" si="45"/>
        <v>5.4594617745905522E-4</v>
      </c>
      <c r="W42" s="98" t="str">
        <f t="shared" si="35"/>
        <v>1-0.0000773423828241852i</v>
      </c>
      <c r="X42" s="160">
        <f t="shared" si="46"/>
        <v>1.000000002990922</v>
      </c>
      <c r="Y42" s="160">
        <f t="shared" si="47"/>
        <v>-7.73423826699685E-5</v>
      </c>
      <c r="Z42" s="98" t="str">
        <f t="shared" si="36"/>
        <v>0.999999997852479+0.000162473598553959i</v>
      </c>
      <c r="AA42" s="160">
        <f t="shared" si="48"/>
        <v>1.0000000110513141</v>
      </c>
      <c r="AB42" s="160">
        <f t="shared" si="49"/>
        <v>1.62473597473233E-4</v>
      </c>
      <c r="AC42" s="171" t="str">
        <f t="shared" si="50"/>
        <v>52.0892574360797-42.6302673834237i</v>
      </c>
      <c r="AD42" s="190">
        <f t="shared" si="51"/>
        <v>36.561586383140202</v>
      </c>
      <c r="AE42" s="169">
        <f t="shared" si="52"/>
        <v>-39.297170299451388</v>
      </c>
      <c r="AF42" s="98" t="str">
        <f t="shared" si="37"/>
        <v>-0.0000673063927557778</v>
      </c>
      <c r="AG42" s="98" t="str">
        <f t="shared" si="38"/>
        <v>1.09931733215138E-06i</v>
      </c>
      <c r="AH42" s="98">
        <f t="shared" si="53"/>
        <v>1.09931733215138E-6</v>
      </c>
      <c r="AI42" s="98">
        <f t="shared" si="54"/>
        <v>1.5707963267948966</v>
      </c>
      <c r="AJ42" s="98" t="str">
        <f t="shared" si="39"/>
        <v>1+0.00110620809760455i</v>
      </c>
      <c r="AK42" s="98">
        <f t="shared" si="55"/>
        <v>1.0000006118479905</v>
      </c>
      <c r="AL42" s="98">
        <f t="shared" si="56"/>
        <v>1.1062076463839421E-3</v>
      </c>
      <c r="AM42" s="98" t="str">
        <f t="shared" si="40"/>
        <v>1+0.163783869510039i</v>
      </c>
      <c r="AN42" s="98">
        <f t="shared" si="57"/>
        <v>1.0133238159204991</v>
      </c>
      <c r="AO42" s="98">
        <f t="shared" si="58"/>
        <v>0.16234248921860295</v>
      </c>
      <c r="AP42" s="168" t="str">
        <f t="shared" si="59"/>
        <v>-9.96002960460216+61.2366447042485i</v>
      </c>
      <c r="AQ42" s="98">
        <f t="shared" si="60"/>
        <v>35.853624487556871</v>
      </c>
      <c r="AR42" s="169">
        <f t="shared" si="61"/>
        <v>99.238158438471103</v>
      </c>
      <c r="AS42" s="168" t="str">
        <f t="shared" si="62"/>
        <v>2091.72399126073+3614.37007571235i</v>
      </c>
      <c r="AT42" s="190">
        <f t="shared" si="63"/>
        <v>72.415210870697067</v>
      </c>
      <c r="AU42" s="169">
        <f t="shared" si="64"/>
        <v>59.940988139019744</v>
      </c>
      <c r="AV42" s="225"/>
      <c r="AX42">
        <f t="shared" si="65"/>
        <v>0</v>
      </c>
      <c r="AY42">
        <f t="shared" si="66"/>
        <v>0</v>
      </c>
    </row>
    <row r="43" spans="1:51" x14ac:dyDescent="0.25">
      <c r="B43" s="209">
        <f>wz_esr/(2*PI())</f>
        <v>31830.988618379062</v>
      </c>
      <c r="C43" s="98" t="s">
        <v>69</v>
      </c>
      <c r="N43" s="170">
        <v>25</v>
      </c>
      <c r="O43" s="199">
        <f t="shared" si="41"/>
        <v>17.782794100389236</v>
      </c>
      <c r="P43" s="189" t="str">
        <f t="shared" si="32"/>
        <v>87</v>
      </c>
      <c r="Q43" s="160" t="str">
        <f t="shared" si="33"/>
        <v>1+0.83799442959124i</v>
      </c>
      <c r="R43" s="160">
        <f t="shared" si="42"/>
        <v>1.3046971541418904</v>
      </c>
      <c r="S43" s="160">
        <f t="shared" si="43"/>
        <v>0.69748278883357051</v>
      </c>
      <c r="T43" s="160" t="str">
        <f t="shared" si="34"/>
        <v>1+0.000558662953060825i</v>
      </c>
      <c r="U43" s="160">
        <f t="shared" si="44"/>
        <v>1.0000001560521354</v>
      </c>
      <c r="V43" s="160">
        <f t="shared" si="45"/>
        <v>5.5866289494046681E-4</v>
      </c>
      <c r="W43" s="98" t="str">
        <f t="shared" si="35"/>
        <v>1-0.0000791439183502837i</v>
      </c>
      <c r="X43" s="160">
        <f t="shared" si="46"/>
        <v>1.0000000031318799</v>
      </c>
      <c r="Y43" s="160">
        <f t="shared" si="47"/>
        <v>-7.9143918185037534E-5</v>
      </c>
      <c r="Z43" s="98" t="str">
        <f t="shared" si="36"/>
        <v>0.999999997751269+0.000166258094830902i</v>
      </c>
      <c r="AA43" s="160">
        <f t="shared" si="48"/>
        <v>1.0000000115721461</v>
      </c>
      <c r="AB43" s="160">
        <f t="shared" si="49"/>
        <v>1.6625809367288327E-4</v>
      </c>
      <c r="AC43" s="171" t="str">
        <f t="shared" si="50"/>
        <v>51.122708790797-42.8132914918977i</v>
      </c>
      <c r="AD43" s="190">
        <f t="shared" si="51"/>
        <v>36.480192032805206</v>
      </c>
      <c r="AE43" s="169">
        <f t="shared" si="52"/>
        <v>-39.944871556690913</v>
      </c>
      <c r="AF43" s="98" t="str">
        <f t="shared" si="37"/>
        <v>-0.0000673063927557778</v>
      </c>
      <c r="AG43" s="98" t="str">
        <f t="shared" si="38"/>
        <v>1.12492372228328E-06i</v>
      </c>
      <c r="AH43" s="98">
        <f t="shared" si="53"/>
        <v>1.1249237222832801E-6</v>
      </c>
      <c r="AI43" s="98">
        <f t="shared" si="54"/>
        <v>1.5707963267948966</v>
      </c>
      <c r="AJ43" s="98" t="str">
        <f t="shared" si="39"/>
        <v>1+0.00113197499428296i</v>
      </c>
      <c r="AK43" s="98">
        <f t="shared" si="55"/>
        <v>1.0000006406834887</v>
      </c>
      <c r="AL43" s="98">
        <f t="shared" si="56"/>
        <v>1.1319745107913847E-3</v>
      </c>
      <c r="AM43" s="98" t="str">
        <f t="shared" si="40"/>
        <v>1+0.167598885918247i</v>
      </c>
      <c r="AN43" s="98">
        <f t="shared" si="57"/>
        <v>1.0139474279078959</v>
      </c>
      <c r="AO43" s="98">
        <f t="shared" si="58"/>
        <v>0.16605556420793904</v>
      </c>
      <c r="AP43" s="168" t="str">
        <f t="shared" si="59"/>
        <v>-9.96002903019763+59.8432359270775i</v>
      </c>
      <c r="AQ43" s="98">
        <f t="shared" si="60"/>
        <v>35.658967996680147</v>
      </c>
      <c r="AR43" s="169">
        <f t="shared" si="61"/>
        <v>99.449425631793787</v>
      </c>
      <c r="AS43" s="168" t="str">
        <f t="shared" si="62"/>
        <v>2052.9022399057+3485.76994953656i</v>
      </c>
      <c r="AT43" s="190">
        <f t="shared" si="63"/>
        <v>72.139160029485353</v>
      </c>
      <c r="AU43" s="169">
        <f t="shared" si="64"/>
        <v>59.504554075102867</v>
      </c>
      <c r="AV43" s="225"/>
      <c r="AX43">
        <f t="shared" si="65"/>
        <v>0</v>
      </c>
      <c r="AY43">
        <f t="shared" si="66"/>
        <v>0</v>
      </c>
    </row>
    <row r="44" spans="1:51" x14ac:dyDescent="0.25">
      <c r="B44" s="211"/>
      <c r="N44" s="170">
        <v>26</v>
      </c>
      <c r="O44" s="199">
        <f t="shared" si="41"/>
        <v>18.197008586099841</v>
      </c>
      <c r="P44" s="189" t="str">
        <f t="shared" si="32"/>
        <v>87</v>
      </c>
      <c r="Q44" s="160" t="str">
        <f t="shared" si="33"/>
        <v>1+0.857513827371025i</v>
      </c>
      <c r="R44" s="160">
        <f t="shared" si="42"/>
        <v>1.3173192339491988</v>
      </c>
      <c r="S44" s="160">
        <f t="shared" si="43"/>
        <v>0.70884008635728502</v>
      </c>
      <c r="T44" s="160" t="str">
        <f t="shared" si="34"/>
        <v>1+0.000571675884914015i</v>
      </c>
      <c r="U44" s="160">
        <f t="shared" si="44"/>
        <v>1.0000001634066453</v>
      </c>
      <c r="V44" s="160">
        <f t="shared" si="45"/>
        <v>5.7167582263692972E-4</v>
      </c>
      <c r="W44" s="98" t="str">
        <f t="shared" si="35"/>
        <v>1-0.0000809874170294856i</v>
      </c>
      <c r="X44" s="160">
        <f t="shared" si="46"/>
        <v>1.0000000032794809</v>
      </c>
      <c r="Y44" s="160">
        <f t="shared" si="47"/>
        <v>-8.0987416852421141E-5</v>
      </c>
      <c r="Z44" s="98" t="str">
        <f t="shared" si="36"/>
        <v>0.99999999764529+0.000170130743350411i</v>
      </c>
      <c r="AA44" s="160">
        <f t="shared" si="48"/>
        <v>1.000000012117525</v>
      </c>
      <c r="AB44" s="160">
        <f t="shared" si="49"/>
        <v>1.7013074210957152E-4</v>
      </c>
      <c r="AC44" s="171" t="str">
        <f t="shared" si="50"/>
        <v>50.1483438701805-42.9750097678639i</v>
      </c>
      <c r="AD44" s="190">
        <f t="shared" si="51"/>
        <v>36.396565736366114</v>
      </c>
      <c r="AE44" s="169">
        <f t="shared" si="52"/>
        <v>-40.595178696742039</v>
      </c>
      <c r="AF44" s="98" t="str">
        <f t="shared" si="37"/>
        <v>-0.0000673063927557778</v>
      </c>
      <c r="AG44" s="98" t="str">
        <f t="shared" si="38"/>
        <v>1.15112656186286E-06i</v>
      </c>
      <c r="AH44" s="98">
        <f t="shared" si="53"/>
        <v>1.1511265618628599E-6</v>
      </c>
      <c r="AI44" s="98">
        <f t="shared" si="54"/>
        <v>1.5707963267948966</v>
      </c>
      <c r="AJ44" s="98" t="str">
        <f t="shared" si="39"/>
        <v>1+0.0011583420790868i</v>
      </c>
      <c r="AK44" s="98">
        <f t="shared" si="55"/>
        <v>1.0000006708779612</v>
      </c>
      <c r="AL44" s="98">
        <f t="shared" si="56"/>
        <v>1.1583415610162617E-3</v>
      </c>
      <c r="AM44" s="98" t="str">
        <f t="shared" si="40"/>
        <v>1+0.171502765474204i</v>
      </c>
      <c r="AN44" s="98">
        <f t="shared" si="57"/>
        <v>1.0146000190051743</v>
      </c>
      <c r="AO44" s="98">
        <f t="shared" si="58"/>
        <v>0.16985034897449222</v>
      </c>
      <c r="AP44" s="168" t="str">
        <f t="shared" si="59"/>
        <v>-9.96002842872246+58.4815568256525i</v>
      </c>
      <c r="AQ44" s="98">
        <f t="shared" si="60"/>
        <v>35.464556299231049</v>
      </c>
      <c r="AR44" s="169">
        <f t="shared" si="61"/>
        <v>99.665340062381773</v>
      </c>
      <c r="AS44" s="168" t="str">
        <f t="shared" si="62"/>
        <v>2013.76654522196+3360.78554076887i</v>
      </c>
      <c r="AT44" s="190">
        <f t="shared" si="63"/>
        <v>71.861122035597162</v>
      </c>
      <c r="AU44" s="169">
        <f t="shared" si="64"/>
        <v>59.07016136563967</v>
      </c>
      <c r="AV44" s="225"/>
      <c r="AX44">
        <f t="shared" si="65"/>
        <v>0</v>
      </c>
      <c r="AY44">
        <f t="shared" si="66"/>
        <v>0</v>
      </c>
    </row>
    <row r="45" spans="1:51" x14ac:dyDescent="0.25">
      <c r="A45" s="98" t="s">
        <v>247</v>
      </c>
      <c r="B45" s="211">
        <f>(Isl*(Rsl_int+R_sl)*Fsw)</f>
        <v>35999.999999999993</v>
      </c>
      <c r="C45" s="98" t="s">
        <v>180</v>
      </c>
      <c r="E45" s="98" t="s">
        <v>248</v>
      </c>
      <c r="N45" s="170">
        <v>27</v>
      </c>
      <c r="O45" s="199">
        <f t="shared" si="41"/>
        <v>18.62087136662868</v>
      </c>
      <c r="P45" s="189" t="str">
        <f t="shared" si="32"/>
        <v>87</v>
      </c>
      <c r="Q45" s="160" t="str">
        <f t="shared" si="33"/>
        <v>1+0.877487890332617i</v>
      </c>
      <c r="R45" s="160">
        <f t="shared" si="42"/>
        <v>1.3304078313360856</v>
      </c>
      <c r="S45" s="160">
        <f t="shared" si="43"/>
        <v>0.72023733416766855</v>
      </c>
      <c r="T45" s="160" t="str">
        <f t="shared" si="34"/>
        <v>1+0.00058499192688841i</v>
      </c>
      <c r="U45" s="160">
        <f t="shared" si="44"/>
        <v>1.0000001711077626</v>
      </c>
      <c r="V45" s="160">
        <f t="shared" si="45"/>
        <v>5.8499186015731146E-4</v>
      </c>
      <c r="W45" s="98" t="str">
        <f t="shared" si="35"/>
        <v>1-0.0000828738563091916i</v>
      </c>
      <c r="X45" s="160">
        <f t="shared" si="46"/>
        <v>1.0000000034340379</v>
      </c>
      <c r="Y45" s="160">
        <f t="shared" si="47"/>
        <v>-8.2873856119463615E-5</v>
      </c>
      <c r="Z45" s="98" t="str">
        <f t="shared" si="36"/>
        <v>0.999999997534316+0.000174093597441991i</v>
      </c>
      <c r="AA45" s="160">
        <f t="shared" si="48"/>
        <v>1.0000000126886062</v>
      </c>
      <c r="AB45" s="160">
        <f t="shared" si="49"/>
        <v>1.7409359611240754E-4</v>
      </c>
      <c r="AC45" s="171" t="str">
        <f t="shared" si="50"/>
        <v>49.1671123631297-43.1150075736727i</v>
      </c>
      <c r="AD45" s="190">
        <f t="shared" si="51"/>
        <v>36.310690605057772</v>
      </c>
      <c r="AE45" s="169">
        <f t="shared" si="52"/>
        <v>-41.247765081409533</v>
      </c>
      <c r="AF45" s="98" t="str">
        <f t="shared" si="37"/>
        <v>-0.0000673063927557778</v>
      </c>
      <c r="AG45" s="98" t="str">
        <f t="shared" si="38"/>
        <v>1.17793974398251E-06i</v>
      </c>
      <c r="AH45" s="98">
        <f t="shared" si="53"/>
        <v>1.17793974398251E-6</v>
      </c>
      <c r="AI45" s="98">
        <f t="shared" si="54"/>
        <v>1.5707963267948966</v>
      </c>
      <c r="AJ45" s="98" t="str">
        <f t="shared" si="39"/>
        <v>1+0.00118532333219344i</v>
      </c>
      <c r="AK45" s="98">
        <f t="shared" si="55"/>
        <v>1.0000007024954543</v>
      </c>
      <c r="AL45" s="98">
        <f t="shared" si="56"/>
        <v>1.1853227770708779E-3</v>
      </c>
      <c r="AM45" s="98" t="str">
        <f t="shared" si="40"/>
        <v>1+0.175497578066523i</v>
      </c>
      <c r="AN45" s="98">
        <f t="shared" si="57"/>
        <v>1.0152829161899728</v>
      </c>
      <c r="AO45" s="98">
        <f t="shared" si="58"/>
        <v>0.17372841817263446</v>
      </c>
      <c r="AP45" s="168" t="str">
        <f t="shared" si="59"/>
        <v>-9.9600277989006+57.1508854196853i</v>
      </c>
      <c r="AQ45" s="98">
        <f t="shared" si="60"/>
        <v>35.270400272765691</v>
      </c>
      <c r="AR45" s="169">
        <f t="shared" si="61"/>
        <v>99.885991150288945</v>
      </c>
      <c r="AS45" s="168" t="str">
        <f t="shared" si="62"/>
        <v>1974.35505178339+3239.37067906561i</v>
      </c>
      <c r="AT45" s="190">
        <f t="shared" si="63"/>
        <v>71.58109087782347</v>
      </c>
      <c r="AU45" s="169">
        <f t="shared" si="64"/>
        <v>58.63822606887944</v>
      </c>
      <c r="AV45" s="225"/>
      <c r="AX45">
        <f t="shared" si="65"/>
        <v>0</v>
      </c>
      <c r="AY45">
        <f t="shared" si="66"/>
        <v>0</v>
      </c>
    </row>
    <row r="46" spans="1:51" x14ac:dyDescent="0.25">
      <c r="A46" s="98" t="s">
        <v>250</v>
      </c>
      <c r="B46" s="211">
        <f>(R_cs*VIN_var*Acs)/Lm</f>
        <v>35294.117647058825</v>
      </c>
      <c r="C46" s="98" t="s">
        <v>180</v>
      </c>
      <c r="E46" s="98" t="s">
        <v>249</v>
      </c>
      <c r="N46" s="170">
        <v>28</v>
      </c>
      <c r="O46" s="199">
        <f t="shared" si="41"/>
        <v>19.054607179632477</v>
      </c>
      <c r="P46" s="189" t="str">
        <f t="shared" si="32"/>
        <v>87</v>
      </c>
      <c r="Q46" s="160" t="str">
        <f t="shared" si="33"/>
        <v>1+0.89792720898859i</v>
      </c>
      <c r="R46" s="160">
        <f t="shared" si="42"/>
        <v>1.3439766637267325</v>
      </c>
      <c r="S46" s="160">
        <f t="shared" si="43"/>
        <v>0.73166873235598662</v>
      </c>
      <c r="T46" s="160" t="str">
        <f t="shared" si="34"/>
        <v>1+0.000598618139325725i</v>
      </c>
      <c r="U46" s="160">
        <f t="shared" si="44"/>
        <v>1.0000001791718223</v>
      </c>
      <c r="V46" s="160">
        <f t="shared" si="45"/>
        <v>5.9861806782206533E-4</v>
      </c>
      <c r="W46" s="98" t="str">
        <f t="shared" si="35"/>
        <v>1-0.0000848042364044779i</v>
      </c>
      <c r="X46" s="160">
        <f t="shared" si="46"/>
        <v>1.0000000035958791</v>
      </c>
      <c r="Y46" s="160">
        <f t="shared" si="47"/>
        <v>-8.4804236201180708E-5</v>
      </c>
      <c r="Z46" s="98" t="str">
        <f t="shared" si="36"/>
        <v>0.999999997418112+0.000178148758263336i</v>
      </c>
      <c r="AA46" s="160">
        <f t="shared" si="48"/>
        <v>1.0000000132866018</v>
      </c>
      <c r="AB46" s="160">
        <f t="shared" si="49"/>
        <v>1.7814875683866164E-4</v>
      </c>
      <c r="AC46" s="171" t="str">
        <f t="shared" si="50"/>
        <v>48.1799920364482-43.2329229124734i</v>
      </c>
      <c r="AD46" s="190">
        <f t="shared" si="51"/>
        <v>36.222551967114626</v>
      </c>
      <c r="AE46" s="169">
        <f t="shared" si="52"/>
        <v>-41.902298173570074</v>
      </c>
      <c r="AF46" s="98" t="str">
        <f t="shared" si="37"/>
        <v>-0.0000673063927557778</v>
      </c>
      <c r="AG46" s="98" t="str">
        <f t="shared" si="38"/>
        <v>1.20537748534628E-06i</v>
      </c>
      <c r="AH46" s="98">
        <f t="shared" si="53"/>
        <v>1.2053774853462801E-6</v>
      </c>
      <c r="AI46" s="98">
        <f t="shared" si="54"/>
        <v>1.5707963267948966</v>
      </c>
      <c r="AJ46" s="98" t="str">
        <f t="shared" si="39"/>
        <v>1+0.00121293305942042i</v>
      </c>
      <c r="AK46" s="98">
        <f t="shared" si="55"/>
        <v>1.0000007356030327</v>
      </c>
      <c r="AL46" s="98">
        <f t="shared" si="56"/>
        <v>1.2129324645959016E-3</v>
      </c>
      <c r="AM46" s="98" t="str">
        <f t="shared" si="40"/>
        <v>1+0.179585441797717i</v>
      </c>
      <c r="AN46" s="98">
        <f t="shared" si="57"/>
        <v>1.0159975053639065</v>
      </c>
      <c r="AO46" s="98">
        <f t="shared" si="58"/>
        <v>0.17769136118173096</v>
      </c>
      <c r="AP46" s="168" t="str">
        <f t="shared" si="59"/>
        <v>-9.96002713939629+55.8505161695794i</v>
      </c>
      <c r="AQ46" s="98">
        <f t="shared" si="60"/>
        <v>35.076511246735997</v>
      </c>
      <c r="AR46" s="169">
        <f t="shared" si="61"/>
        <v>100.11146914059213</v>
      </c>
      <c r="AS46" s="168" t="str">
        <f t="shared" si="62"/>
        <v>1934.70703192235+3121.47850980552i</v>
      </c>
      <c r="AT46" s="190">
        <f t="shared" si="63"/>
        <v>71.29906321385063</v>
      </c>
      <c r="AU46" s="169">
        <f t="shared" si="64"/>
        <v>58.209170967022125</v>
      </c>
      <c r="AV46" s="225"/>
      <c r="AX46">
        <f t="shared" si="65"/>
        <v>0</v>
      </c>
      <c r="AY46">
        <f t="shared" si="66"/>
        <v>0</v>
      </c>
    </row>
    <row r="47" spans="1:51" x14ac:dyDescent="0.25">
      <c r="B47" s="211"/>
      <c r="N47" s="170">
        <v>29</v>
      </c>
      <c r="O47" s="199">
        <f t="shared" si="41"/>
        <v>19.498445997580465</v>
      </c>
      <c r="P47" s="189" t="str">
        <f t="shared" si="32"/>
        <v>87</v>
      </c>
      <c r="Q47" s="160" t="str">
        <f t="shared" si="33"/>
        <v>1+0.918842620536242i</v>
      </c>
      <c r="R47" s="160">
        <f t="shared" si="42"/>
        <v>1.3580396758982811</v>
      </c>
      <c r="S47" s="160">
        <f t="shared" si="43"/>
        <v>0.74312839239076289</v>
      </c>
      <c r="T47" s="160" t="str">
        <f t="shared" si="34"/>
        <v>1+0.00061256174702416i</v>
      </c>
      <c r="U47" s="160">
        <f t="shared" si="44"/>
        <v>1.0000001876159295</v>
      </c>
      <c r="V47" s="160">
        <f t="shared" si="45"/>
        <v>6.125616704066091E-4</v>
      </c>
      <c r="W47" s="98" t="str">
        <f t="shared" si="35"/>
        <v>1-0.0000867795808284229i</v>
      </c>
      <c r="X47" s="160">
        <f t="shared" si="46"/>
        <v>1.0000000037653478</v>
      </c>
      <c r="Y47" s="160">
        <f t="shared" si="47"/>
        <v>-8.6779580610586035E-5</v>
      </c>
      <c r="Z47" s="98" t="str">
        <f t="shared" si="36"/>
        <v>0.999999997296431+0.00018229837591439i</v>
      </c>
      <c r="AA47" s="160">
        <f t="shared" si="48"/>
        <v>1.0000000139127798</v>
      </c>
      <c r="AB47" s="160">
        <f t="shared" si="49"/>
        <v>1.82298374387824E-4</v>
      </c>
      <c r="AC47" s="171" t="str">
        <f t="shared" si="50"/>
        <v>47.1879849748546-43.3284486841641i</v>
      </c>
      <c r="AD47" s="190">
        <f t="shared" si="51"/>
        <v>36.132137428062173</v>
      </c>
      <c r="AE47" s="169">
        <f t="shared" si="52"/>
        <v>-42.558440353108182</v>
      </c>
      <c r="AF47" s="98" t="str">
        <f t="shared" si="37"/>
        <v>-0.0000673063927557778</v>
      </c>
      <c r="AG47" s="98" t="str">
        <f t="shared" si="38"/>
        <v>1.23345433380785E-06i</v>
      </c>
      <c r="AH47" s="98">
        <f t="shared" si="53"/>
        <v>1.23345433380785E-6</v>
      </c>
      <c r="AI47" s="98">
        <f t="shared" si="54"/>
        <v>1.5707963267948966</v>
      </c>
      <c r="AJ47" s="98" t="str">
        <f t="shared" si="39"/>
        <v>1+0.00124118589981057i</v>
      </c>
      <c r="AK47" s="98">
        <f t="shared" si="55"/>
        <v>1.0000007702709222</v>
      </c>
      <c r="AL47" s="98">
        <f t="shared" si="56"/>
        <v>1.2411852624446417E-3</v>
      </c>
      <c r="AM47" s="98" t="str">
        <f t="shared" si="40"/>
        <v>1+0.183768524107248i</v>
      </c>
      <c r="AN47" s="98">
        <f t="shared" si="57"/>
        <v>1.0167452337987899</v>
      </c>
      <c r="AO47" s="98">
        <f t="shared" si="58"/>
        <v>0.18174078105817099</v>
      </c>
      <c r="AP47" s="168" t="str">
        <f t="shared" si="59"/>
        <v>-9.96002644881063+54.5797596023395i</v>
      </c>
      <c r="AQ47" s="98">
        <f t="shared" si="60"/>
        <v>34.882901018330216</v>
      </c>
      <c r="AR47" s="169">
        <f t="shared" si="61"/>
        <v>100.3418650429124</v>
      </c>
      <c r="AS47" s="168" t="str">
        <f t="shared" si="62"/>
        <v>1894.86273470835+3007.06137092658i</v>
      </c>
      <c r="AT47" s="190">
        <f t="shared" si="63"/>
        <v>71.015038446392381</v>
      </c>
      <c r="AU47" s="169">
        <f t="shared" si="64"/>
        <v>57.783424689804207</v>
      </c>
      <c r="AV47" s="225"/>
      <c r="AX47">
        <f t="shared" si="65"/>
        <v>0</v>
      </c>
      <c r="AY47">
        <f t="shared" si="66"/>
        <v>0</v>
      </c>
    </row>
    <row r="48" spans="1:51" x14ac:dyDescent="0.25">
      <c r="A48" s="98" t="s">
        <v>245</v>
      </c>
      <c r="B48" s="211">
        <f>2*PI()*Fsw</f>
        <v>4712388.9803846898</v>
      </c>
      <c r="C48" s="98" t="s">
        <v>251</v>
      </c>
      <c r="N48" s="170">
        <v>30</v>
      </c>
      <c r="O48" s="199">
        <f t="shared" si="41"/>
        <v>19.952623149688804</v>
      </c>
      <c r="P48" s="189" t="str">
        <f t="shared" si="32"/>
        <v>87</v>
      </c>
      <c r="Q48" s="160" t="str">
        <f t="shared" si="33"/>
        <v>1+0.940245214603622i</v>
      </c>
      <c r="R48" s="160">
        <f t="shared" si="42"/>
        <v>1.3726110387087127</v>
      </c>
      <c r="S48" s="160">
        <f t="shared" si="43"/>
        <v>0.75461035191588233</v>
      </c>
      <c r="T48" s="160" t="str">
        <f t="shared" si="34"/>
        <v>1+0.00062683014306908i</v>
      </c>
      <c r="U48" s="160">
        <f t="shared" si="44"/>
        <v>1.0000001964579948</v>
      </c>
      <c r="V48" s="160">
        <f t="shared" si="45"/>
        <v>6.2683006097189592E-4</v>
      </c>
      <c r="W48" s="98" t="str">
        <f t="shared" si="35"/>
        <v>1-0.0000888009369347865i</v>
      </c>
      <c r="X48" s="160">
        <f t="shared" si="46"/>
        <v>1.0000000039428032</v>
      </c>
      <c r="Y48" s="160">
        <f t="shared" si="47"/>
        <v>-8.8800936701370091E-5</v>
      </c>
      <c r="Z48" s="98" t="str">
        <f t="shared" si="36"/>
        <v>0.999999997169016+0.000186544650577358i</v>
      </c>
      <c r="AA48" s="160">
        <f t="shared" si="48"/>
        <v>1.0000000145684691</v>
      </c>
      <c r="AB48" s="160">
        <f t="shared" si="49"/>
        <v>1.8654464894161301E-4</v>
      </c>
      <c r="AC48" s="171" t="str">
        <f t="shared" si="50"/>
        <v>46.1921136098219-43.4013346196553i</v>
      </c>
      <c r="AD48" s="190">
        <f t="shared" si="51"/>
        <v>36.039436922112451</v>
      </c>
      <c r="AE48" s="169">
        <f t="shared" si="52"/>
        <v>-43.215849764661137</v>
      </c>
      <c r="AF48" s="98" t="str">
        <f t="shared" si="37"/>
        <v>-0.0000673063927557778</v>
      </c>
      <c r="AG48" s="98" t="str">
        <f t="shared" si="38"/>
        <v>0.0000012621851760839i</v>
      </c>
      <c r="AH48" s="98">
        <f t="shared" si="53"/>
        <v>1.2621851760839001E-6</v>
      </c>
      <c r="AI48" s="98">
        <f t="shared" si="54"/>
        <v>1.5707963267948966</v>
      </c>
      <c r="AJ48" s="98" t="str">
        <f t="shared" si="39"/>
        <v>1+0.00127009683339384i</v>
      </c>
      <c r="AK48" s="98">
        <f t="shared" si="55"/>
        <v>1.0000008065726578</v>
      </c>
      <c r="AL48" s="98">
        <f t="shared" si="56"/>
        <v>1.2700961504439731E-3</v>
      </c>
      <c r="AM48" s="98" t="str">
        <f t="shared" si="40"/>
        <v>1+0.188049042920724i</v>
      </c>
      <c r="AN48" s="98">
        <f t="shared" si="57"/>
        <v>1.0175276126687669</v>
      </c>
      <c r="AO48" s="98">
        <f t="shared" si="58"/>
        <v>0.1858782933837177</v>
      </c>
      <c r="AP48" s="168" t="str">
        <f t="shared" si="59"/>
        <v>-9.96002572567875+53.3379419460086i</v>
      </c>
      <c r="AQ48" s="98">
        <f t="shared" si="60"/>
        <v>34.689581868591446</v>
      </c>
      <c r="AR48" s="169">
        <f t="shared" si="61"/>
        <v>100.57727056498527</v>
      </c>
      <c r="AS48" s="168" t="str">
        <f t="shared" si="62"/>
        <v>1854.86322644517+2896.07068342467i</v>
      </c>
      <c r="AT48" s="190">
        <f t="shared" si="63"/>
        <v>70.72901879070389</v>
      </c>
      <c r="AU48" s="169">
        <f t="shared" si="64"/>
        <v>57.361420800324055</v>
      </c>
      <c r="AV48" s="225"/>
      <c r="AX48">
        <f t="shared" si="65"/>
        <v>0</v>
      </c>
      <c r="AY48">
        <f t="shared" si="66"/>
        <v>0</v>
      </c>
    </row>
    <row r="49" spans="1:51" x14ac:dyDescent="0.25">
      <c r="A49" s="98" t="s">
        <v>246</v>
      </c>
      <c r="B49" s="211">
        <f>1/(PI()*(((VIN_var/VOUT)*(1+(B45/B46)))-0.5))</f>
        <v>0.28522391235106698</v>
      </c>
      <c r="N49" s="170">
        <v>31</v>
      </c>
      <c r="O49" s="199">
        <f t="shared" si="41"/>
        <v>20.4173794466953</v>
      </c>
      <c r="P49" s="189" t="str">
        <f t="shared" si="32"/>
        <v>87</v>
      </c>
      <c r="Q49" s="160" t="str">
        <f t="shared" si="33"/>
        <v>1+0.962146339129397i</v>
      </c>
      <c r="R49" s="160">
        <f t="shared" si="42"/>
        <v>1.3877051480412186</v>
      </c>
      <c r="S49" s="160">
        <f t="shared" si="43"/>
        <v>0.7661085900157123</v>
      </c>
      <c r="T49" s="160" t="str">
        <f t="shared" si="34"/>
        <v>1+0.00064143089275293i</v>
      </c>
      <c r="U49" s="160">
        <f t="shared" si="44"/>
        <v>1.0000002057167738</v>
      </c>
      <c r="V49" s="160">
        <f t="shared" si="45"/>
        <v>6.4143080478421335E-4</v>
      </c>
      <c r="W49" s="98" t="str">
        <f t="shared" si="35"/>
        <v>1-0.0000908693764733319i</v>
      </c>
      <c r="X49" s="160">
        <f t="shared" si="46"/>
        <v>1.0000000041286217</v>
      </c>
      <c r="Y49" s="160">
        <f t="shared" si="47"/>
        <v>-9.0869376223221712E-5</v>
      </c>
      <c r="Z49" s="98" t="str">
        <f t="shared" si="36"/>
        <v>0.999999997035596+0.000190889833683272i</v>
      </c>
      <c r="AA49" s="160">
        <f t="shared" si="48"/>
        <v>1.0000000152550601</v>
      </c>
      <c r="AB49" s="160">
        <f t="shared" si="49"/>
        <v>1.9088983193053959E-4</v>
      </c>
      <c r="AC49" s="171" t="str">
        <f t="shared" si="50"/>
        <v>45.1934165697268-43.4513888709913i</v>
      </c>
      <c r="AD49" s="190">
        <f t="shared" si="51"/>
        <v>35.944442754215437</v>
      </c>
      <c r="AE49" s="169">
        <f t="shared" si="52"/>
        <v>-43.874181192121</v>
      </c>
      <c r="AF49" s="98" t="str">
        <f t="shared" si="37"/>
        <v>-0.0000673063927557778</v>
      </c>
      <c r="AG49" s="98" t="str">
        <f t="shared" si="38"/>
        <v>0.0000012915852456473i</v>
      </c>
      <c r="AH49" s="98">
        <f t="shared" si="53"/>
        <v>1.2915852456473E-6</v>
      </c>
      <c r="AI49" s="98">
        <f t="shared" si="54"/>
        <v>1.5707963267948966</v>
      </c>
      <c r="AJ49" s="98" t="str">
        <f t="shared" si="39"/>
        <v>1+0.00129968118912989i</v>
      </c>
      <c r="AK49" s="98">
        <f t="shared" si="55"/>
        <v>1.00000084458524</v>
      </c>
      <c r="AL49" s="98">
        <f t="shared" si="56"/>
        <v>1.2996804573359565E-3</v>
      </c>
      <c r="AM49" s="98" t="str">
        <f t="shared" si="40"/>
        <v>1+0.192429267825879i</v>
      </c>
      <c r="AN49" s="98">
        <f t="shared" si="57"/>
        <v>1.0183462196699136</v>
      </c>
      <c r="AO49" s="98">
        <f t="shared" si="58"/>
        <v>0.19010552500431763</v>
      </c>
      <c r="AP49" s="168" t="str">
        <f t="shared" si="59"/>
        <v>-9.96002496846682+52.1244047724224i</v>
      </c>
      <c r="AQ49" s="98">
        <f t="shared" si="60"/>
        <v>34.496566578787238</v>
      </c>
      <c r="AR49" s="169">
        <f t="shared" si="61"/>
        <v>100.81777803994515</v>
      </c>
      <c r="AS49" s="168" t="str">
        <f t="shared" si="62"/>
        <v>1814.75022399068+2788.45685639878i</v>
      </c>
      <c r="AT49" s="190">
        <f t="shared" si="63"/>
        <v>70.441009333002697</v>
      </c>
      <c r="AU49" s="169">
        <f t="shared" si="64"/>
        <v>56.943596847824196</v>
      </c>
      <c r="AV49" s="225"/>
      <c r="AX49">
        <f t="shared" si="65"/>
        <v>0</v>
      </c>
      <c r="AY49">
        <f t="shared" si="66"/>
        <v>0</v>
      </c>
    </row>
    <row r="50" spans="1:51" x14ac:dyDescent="0.25">
      <c r="A50" s="98" t="s">
        <v>544</v>
      </c>
      <c r="B50" s="209">
        <f>2*Fsw*((1-1/(B20/B17))/Dc_VIN_nom)^2</f>
        <v>1500000</v>
      </c>
      <c r="C50" s="98" t="s">
        <v>251</v>
      </c>
      <c r="E50" s="98" t="s">
        <v>545</v>
      </c>
      <c r="N50" s="170">
        <v>32</v>
      </c>
      <c r="O50" s="199">
        <f t="shared" si="41"/>
        <v>20.8929613085404</v>
      </c>
      <c r="P50" s="189" t="str">
        <f t="shared" si="32"/>
        <v>87</v>
      </c>
      <c r="Q50" s="160" t="str">
        <f t="shared" si="33"/>
        <v>1+0.9845576063797i</v>
      </c>
      <c r="R50" s="160">
        <f t="shared" si="42"/>
        <v>1.4033366240072709</v>
      </c>
      <c r="S50" s="160">
        <f t="shared" si="43"/>
        <v>0.77761704285357891</v>
      </c>
      <c r="T50" s="160" t="str">
        <f t="shared" si="34"/>
        <v>1+0.000656371737586465i</v>
      </c>
      <c r="U50" s="160">
        <f t="shared" si="44"/>
        <v>1.0000002154119059</v>
      </c>
      <c r="V50" s="160">
        <f t="shared" si="45"/>
        <v>6.5637164332628796E-4</v>
      </c>
      <c r="W50" s="98" t="str">
        <f t="shared" si="35"/>
        <v>1-0.0000929859961580827i</v>
      </c>
      <c r="X50" s="160">
        <f t="shared" si="46"/>
        <v>1.0000000043231976</v>
      </c>
      <c r="Y50" s="160">
        <f t="shared" si="47"/>
        <v>-9.29859958900848E-5</v>
      </c>
      <c r="Z50" s="98" t="str">
        <f t="shared" si="36"/>
        <v>0.999999996895887+0.000195336229105732i</v>
      </c>
      <c r="AA50" s="160">
        <f t="shared" si="48"/>
        <v>1.0000000159740081</v>
      </c>
      <c r="AB50" s="160">
        <f t="shared" si="49"/>
        <v>1.9533622722764558E-4</v>
      </c>
      <c r="AC50" s="171" t="str">
        <f t="shared" si="50"/>
        <v>44.1929443864591-43.4784792386437i</v>
      </c>
      <c r="AD50" s="190">
        <f t="shared" si="51"/>
        <v>35.847149632394533</v>
      </c>
      <c r="AE50" s="169">
        <f t="shared" si="52"/>
        <v>-44.53308695452359</v>
      </c>
      <c r="AF50" s="98" t="str">
        <f t="shared" si="37"/>
        <v>-0.0000673063927557778</v>
      </c>
      <c r="AG50" s="98" t="str">
        <f t="shared" si="38"/>
        <v>0.0000013216701308041i</v>
      </c>
      <c r="AH50" s="98">
        <f t="shared" si="53"/>
        <v>1.3216701308041001E-6</v>
      </c>
      <c r="AI50" s="98">
        <f t="shared" si="54"/>
        <v>1.5707963267948966</v>
      </c>
      <c r="AJ50" s="98" t="str">
        <f t="shared" si="39"/>
        <v>1+0.00132995465303575i</v>
      </c>
      <c r="AK50" s="98">
        <f t="shared" si="55"/>
        <v>1.0000008843892985</v>
      </c>
      <c r="AL50" s="98">
        <f t="shared" si="56"/>
        <v>1.3299538689044604E-3</v>
      </c>
      <c r="AM50" s="98" t="str">
        <f t="shared" si="40"/>
        <v>1+0.196911521275939i</v>
      </c>
      <c r="AN50" s="98">
        <f t="shared" si="57"/>
        <v>1.0192027017287604</v>
      </c>
      <c r="AO50" s="98">
        <f t="shared" si="58"/>
        <v>0.19442411265330492</v>
      </c>
      <c r="AP50" s="168" t="str">
        <f t="shared" si="59"/>
        <v>-9.96002417556871+50.9385046481014i</v>
      </c>
      <c r="AQ50" s="98">
        <f t="shared" si="60"/>
        <v>34.303868447003325</v>
      </c>
      <c r="AR50" s="169">
        <f t="shared" si="61"/>
        <v>101.06348034697511</v>
      </c>
      <c r="AS50" s="168" t="str">
        <f t="shared" si="62"/>
        <v>1774.56592231134+2684.16920737679i</v>
      </c>
      <c r="AT50" s="190">
        <f t="shared" si="63"/>
        <v>70.151018079397872</v>
      </c>
      <c r="AU50" s="169">
        <f t="shared" si="64"/>
        <v>56.530393392451494</v>
      </c>
      <c r="AV50" s="225"/>
      <c r="AX50">
        <f t="shared" si="65"/>
        <v>0</v>
      </c>
      <c r="AY50">
        <f t="shared" si="66"/>
        <v>0</v>
      </c>
    </row>
    <row r="51" spans="1:51" x14ac:dyDescent="0.25">
      <c r="N51" s="170">
        <v>33</v>
      </c>
      <c r="O51" s="199">
        <f t="shared" si="41"/>
        <v>21.379620895022335</v>
      </c>
      <c r="P51" s="189" t="str">
        <f t="shared" si="32"/>
        <v>87</v>
      </c>
      <c r="Q51" s="160" t="str">
        <f t="shared" si="33"/>
        <v>1+1.00749089910506i</v>
      </c>
      <c r="R51" s="160">
        <f t="shared" si="42"/>
        <v>1.4195203104498091</v>
      </c>
      <c r="S51" s="160">
        <f t="shared" si="43"/>
        <v>0.78912961958546568</v>
      </c>
      <c r="T51" s="160" t="str">
        <f t="shared" si="34"/>
        <v>1+0.00067166059940337i</v>
      </c>
      <c r="U51" s="160">
        <f t="shared" si="44"/>
        <v>1.0000002255639548</v>
      </c>
      <c r="V51" s="160">
        <f t="shared" si="45"/>
        <v>6.7166049840177182E-4</v>
      </c>
      <c r="W51" s="98" t="str">
        <f t="shared" si="35"/>
        <v>1-0.0000951519182488109i</v>
      </c>
      <c r="X51" s="160">
        <f t="shared" si="46"/>
        <v>1.0000000045269437</v>
      </c>
      <c r="Y51" s="160">
        <f t="shared" si="47"/>
        <v>-9.5151917961645984E-5</v>
      </c>
      <c r="Z51" s="98" t="str">
        <f t="shared" si="36"/>
        <v>0.999999996749595+0.000199886194382443i</v>
      </c>
      <c r="AA51" s="160">
        <f t="shared" si="48"/>
        <v>1.0000000167268404</v>
      </c>
      <c r="AB51" s="160">
        <f t="shared" si="49"/>
        <v>1.9988619237003709E-4</v>
      </c>
      <c r="AC51" s="171" t="str">
        <f t="shared" si="50"/>
        <v>43.1917550958188-43.4825340214335i</v>
      </c>
      <c r="AD51" s="190">
        <f t="shared" si="51"/>
        <v>35.747554690079582</v>
      </c>
      <c r="AE51" s="169">
        <f t="shared" si="52"/>
        <v>-45.192217817704858</v>
      </c>
      <c r="AF51" s="98" t="str">
        <f t="shared" si="37"/>
        <v>-0.0000673063927557778</v>
      </c>
      <c r="AG51" s="98" t="str">
        <f t="shared" si="38"/>
        <v>1.35245578295863E-06i</v>
      </c>
      <c r="AH51" s="98">
        <f t="shared" si="53"/>
        <v>1.35245578295863E-6</v>
      </c>
      <c r="AI51" s="98">
        <f t="shared" si="54"/>
        <v>1.5707963267948966</v>
      </c>
      <c r="AJ51" s="98" t="str">
        <f t="shared" si="39"/>
        <v>1+0.00136093327650266i</v>
      </c>
      <c r="AK51" s="98">
        <f t="shared" si="55"/>
        <v>1.0000009260692628</v>
      </c>
      <c r="AL51" s="98">
        <f t="shared" si="56"/>
        <v>1.3609324362908871E-3</v>
      </c>
      <c r="AM51" s="98" t="str">
        <f t="shared" si="40"/>
        <v>1+0.201498179821011i</v>
      </c>
      <c r="AN51" s="98">
        <f t="shared" si="57"/>
        <v>1.0200987778010424</v>
      </c>
      <c r="AO51" s="98">
        <f t="shared" si="58"/>
        <v>0.19883570145281107</v>
      </c>
      <c r="AP51" s="168" t="str">
        <f t="shared" si="59"/>
        <v>-9.96002334530256+49.7796127930962i</v>
      </c>
      <c r="AQ51" s="98">
        <f t="shared" si="60"/>
        <v>34.111501304929263</v>
      </c>
      <c r="AR51" s="169">
        <f t="shared" si="61"/>
        <v>101.31447082496739</v>
      </c>
      <c r="AS51" s="168" t="str">
        <f t="shared" si="62"/>
        <v>1734.35281777065+2583.15589849049i</v>
      </c>
      <c r="AT51" s="190">
        <f t="shared" si="63"/>
        <v>69.859055995008845</v>
      </c>
      <c r="AU51" s="169">
        <f t="shared" si="64"/>
        <v>56.122253007262479</v>
      </c>
      <c r="AV51" s="225"/>
      <c r="AX51">
        <f t="shared" si="65"/>
        <v>0</v>
      </c>
      <c r="AY51">
        <f t="shared" si="66"/>
        <v>0</v>
      </c>
    </row>
    <row r="52" spans="1:51" x14ac:dyDescent="0.25">
      <c r="N52" s="170">
        <v>34</v>
      </c>
      <c r="O52" s="199">
        <f t="shared" si="41"/>
        <v>21.877616239495538</v>
      </c>
      <c r="P52" s="189" t="str">
        <f t="shared" si="32"/>
        <v>87</v>
      </c>
      <c r="Q52" s="160" t="str">
        <f t="shared" si="33"/>
        <v>1+1.03095837684084i</v>
      </c>
      <c r="R52" s="160">
        <f t="shared" si="42"/>
        <v>1.4362712747870086</v>
      </c>
      <c r="S52" s="160">
        <f t="shared" si="43"/>
        <v>0.80064021844766475</v>
      </c>
      <c r="T52" s="160" t="str">
        <f t="shared" si="34"/>
        <v>1+0.00068730558456056i</v>
      </c>
      <c r="U52" s="160">
        <f t="shared" si="44"/>
        <v>1.0000002361944553</v>
      </c>
      <c r="V52" s="160">
        <f t="shared" si="45"/>
        <v>6.8730547633539911E-4</v>
      </c>
      <c r="W52" s="98" t="str">
        <f t="shared" si="35"/>
        <v>1-0.0000973682911460795i</v>
      </c>
      <c r="X52" s="160">
        <f t="shared" si="46"/>
        <v>1.0000000047402919</v>
      </c>
      <c r="Y52" s="160">
        <f t="shared" si="47"/>
        <v>-9.7368290838376745E-5</v>
      </c>
      <c r="Z52" s="98" t="str">
        <f t="shared" si="36"/>
        <v>0.999999996596408+0.000204542141965223i</v>
      </c>
      <c r="AA52" s="160">
        <f t="shared" si="48"/>
        <v>1.0000000175151518</v>
      </c>
      <c r="AB52" s="160">
        <f t="shared" si="49"/>
        <v>2.0454213980889124E-4</v>
      </c>
      <c r="AC52" s="171" t="str">
        <f t="shared" si="50"/>
        <v>42.1909097706375-43.4635424789387i</v>
      </c>
      <c r="AD52" s="190">
        <f t="shared" si="51"/>
        <v>35.645657498236709</v>
      </c>
      <c r="AE52" s="169">
        <f t="shared" si="52"/>
        <v>-45.851223915920222</v>
      </c>
      <c r="AF52" s="98" t="str">
        <f t="shared" si="37"/>
        <v>-0.0000673063927557778</v>
      </c>
      <c r="AG52" s="98" t="str">
        <f t="shared" si="38"/>
        <v>1.38395852507114E-06i</v>
      </c>
      <c r="AH52" s="98">
        <f t="shared" si="53"/>
        <v>1.38395852507114E-6</v>
      </c>
      <c r="AI52" s="98">
        <f t="shared" si="54"/>
        <v>1.5707963267948966</v>
      </c>
      <c r="AJ52" s="98" t="str">
        <f t="shared" si="39"/>
        <v>1+0.00139263348480686i</v>
      </c>
      <c r="AK52" s="98">
        <f t="shared" si="55"/>
        <v>1.0000009697135415</v>
      </c>
      <c r="AL52" s="98">
        <f t="shared" si="56"/>
        <v>1.3926325845037722E-3</v>
      </c>
      <c r="AM52" s="98" t="str">
        <f t="shared" si="40"/>
        <v>1+0.206191675368168i</v>
      </c>
      <c r="AN52" s="98">
        <f t="shared" si="57"/>
        <v>1.0210362417618348</v>
      </c>
      <c r="AO52" s="98">
        <f t="shared" si="58"/>
        <v>0.20334194328708483</v>
      </c>
      <c r="AP52" s="168" t="str">
        <f t="shared" si="59"/>
        <v>-9.96002247590743+48.6471147475988i</v>
      </c>
      <c r="AQ52" s="98">
        <f t="shared" si="60"/>
        <v>33.919479534798143</v>
      </c>
      <c r="AR52" s="169">
        <f t="shared" si="61"/>
        <v>101.57084317883405</v>
      </c>
      <c r="AS52" s="168" t="str">
        <f t="shared" si="62"/>
        <v>1694.15352871553+2485.36388889058i</v>
      </c>
      <c r="AT52" s="190">
        <f t="shared" si="63"/>
        <v>69.565137033034844</v>
      </c>
      <c r="AU52" s="169">
        <f t="shared" si="64"/>
        <v>55.719619262913938</v>
      </c>
      <c r="AV52" s="225"/>
      <c r="AX52">
        <f t="shared" si="65"/>
        <v>0</v>
      </c>
      <c r="AY52">
        <f t="shared" si="66"/>
        <v>0</v>
      </c>
    </row>
    <row r="53" spans="1:51" ht="15.75" x14ac:dyDescent="0.25">
      <c r="A53" s="212" t="s">
        <v>261</v>
      </c>
      <c r="N53" s="170">
        <v>35</v>
      </c>
      <c r="O53" s="199">
        <f t="shared" si="41"/>
        <v>22.387211385683404</v>
      </c>
      <c r="P53" s="189" t="str">
        <f t="shared" si="32"/>
        <v>87</v>
      </c>
      <c r="Q53" s="160" t="str">
        <f t="shared" si="33"/>
        <v>1+1.05497248235438i</v>
      </c>
      <c r="R53" s="160">
        <f t="shared" si="42"/>
        <v>1.4536048082353619</v>
      </c>
      <c r="S53" s="160">
        <f t="shared" si="43"/>
        <v>0.81214274291486666</v>
      </c>
      <c r="T53" s="160" t="str">
        <f t="shared" si="34"/>
        <v>1+0.00070331498823625i</v>
      </c>
      <c r="U53" s="160">
        <f t="shared" si="44"/>
        <v>1.0000002473259557</v>
      </c>
      <c r="V53" s="160">
        <f t="shared" si="45"/>
        <v>7.0331487227090234E-4</v>
      </c>
      <c r="W53" s="98" t="str">
        <f t="shared" si="35"/>
        <v>1-0.0000996362900001356i</v>
      </c>
      <c r="X53" s="160">
        <f t="shared" si="46"/>
        <v>1.000000004963695</v>
      </c>
      <c r="Y53" s="160">
        <f t="shared" si="47"/>
        <v>-9.9636289670426161E-5</v>
      </c>
      <c r="Z53" s="98" t="str">
        <f t="shared" si="36"/>
        <v>0.999999996436002+0.000209306540499108i</v>
      </c>
      <c r="AA53" s="160">
        <f t="shared" si="48"/>
        <v>1.0000000183406159</v>
      </c>
      <c r="AB53" s="160">
        <f t="shared" si="49"/>
        <v>2.0930653818855685E-4</v>
      </c>
      <c r="AC53" s="171" t="str">
        <f t="shared" si="50"/>
        <v>41.1914680266052-43.4215549008475i</v>
      </c>
      <c r="AD53" s="190">
        <f t="shared" si="51"/>
        <v>35.541460067186549</v>
      </c>
      <c r="AE53" s="169">
        <f t="shared" si="52"/>
        <v>-46.509755677497402</v>
      </c>
      <c r="AF53" s="98" t="str">
        <f t="shared" si="37"/>
        <v>-0.0000673063927557778</v>
      </c>
      <c r="AG53" s="98" t="str">
        <f t="shared" si="38"/>
        <v>1.41619506031251E-06i</v>
      </c>
      <c r="AH53" s="98">
        <f t="shared" si="53"/>
        <v>1.41619506031251E-6</v>
      </c>
      <c r="AI53" s="98">
        <f t="shared" si="54"/>
        <v>1.5707963267948966</v>
      </c>
      <c r="AJ53" s="98" t="str">
        <f t="shared" si="39"/>
        <v>1+0.00142507208581838i</v>
      </c>
      <c r="AK53" s="98">
        <f t="shared" si="55"/>
        <v>1.0000010154147094</v>
      </c>
      <c r="AL53" s="98">
        <f t="shared" si="56"/>
        <v>1.4250711211262939E-3</v>
      </c>
      <c r="AM53" s="98" t="str">
        <f t="shared" si="40"/>
        <v>1+0.210994496470875i</v>
      </c>
      <c r="AN53" s="98">
        <f t="shared" si="57"/>
        <v>1.0220169653880498</v>
      </c>
      <c r="AO53" s="98">
        <f t="shared" si="58"/>
        <v>0.20794449504128171</v>
      </c>
      <c r="AP53" s="168" t="str">
        <f t="shared" si="59"/>
        <v>-9.960021565539+47.5404100461467i</v>
      </c>
      <c r="AQ53" s="98">
        <f t="shared" si="60"/>
        <v>33.727818086439569</v>
      </c>
      <c r="AR53" s="169">
        <f t="shared" si="61"/>
        <v>101.83269137809799</v>
      </c>
      <c r="AS53" s="168" t="str">
        <f t="shared" si="62"/>
        <v>1654.01061496636+2390.73890360923i</v>
      </c>
      <c r="AT53" s="190">
        <f t="shared" si="63"/>
        <v>69.269278153626118</v>
      </c>
      <c r="AU53" s="169">
        <f t="shared" si="64"/>
        <v>55.322935700600645</v>
      </c>
      <c r="AV53" s="225"/>
      <c r="AX53">
        <f t="shared" si="65"/>
        <v>0</v>
      </c>
      <c r="AY53">
        <f t="shared" si="66"/>
        <v>0</v>
      </c>
    </row>
    <row r="54" spans="1:51" x14ac:dyDescent="0.25">
      <c r="A54" s="98" t="s">
        <v>226</v>
      </c>
      <c r="N54" s="170">
        <v>36</v>
      </c>
      <c r="O54" s="199">
        <f t="shared" si="41"/>
        <v>22.908676527677727</v>
      </c>
      <c r="P54" s="189" t="str">
        <f t="shared" si="32"/>
        <v>87</v>
      </c>
      <c r="Q54" s="160" t="str">
        <f t="shared" si="33"/>
        <v>1+1.07954594824227i</v>
      </c>
      <c r="R54" s="160">
        <f t="shared" si="42"/>
        <v>1.471536426449003</v>
      </c>
      <c r="S54" s="160">
        <f t="shared" si="43"/>
        <v>0.82363111782441478</v>
      </c>
      <c r="T54" s="160" t="str">
        <f t="shared" si="34"/>
        <v>1+0.000719697298828175i</v>
      </c>
      <c r="U54" s="160">
        <f t="shared" si="44"/>
        <v>1.0000002589820673</v>
      </c>
      <c r="V54" s="160">
        <f t="shared" si="45"/>
        <v>7.1969717456906801E-4</v>
      </c>
      <c r="W54" s="98" t="str">
        <f t="shared" si="35"/>
        <v>1-0.000101957117333992i</v>
      </c>
      <c r="X54" s="160">
        <f t="shared" si="46"/>
        <v>1.0000000051976268</v>
      </c>
      <c r="Y54" s="160">
        <f t="shared" si="47"/>
        <v>-1.0195711698070197E-4</v>
      </c>
      <c r="Z54" s="98" t="str">
        <f t="shared" si="36"/>
        <v>0.999999996268036+0.000214181916131265i</v>
      </c>
      <c r="AA54" s="160">
        <f t="shared" si="48"/>
        <v>1.0000000192049825</v>
      </c>
      <c r="AB54" s="160">
        <f t="shared" si="49"/>
        <v>2.1418191365546479E-4</v>
      </c>
      <c r="AC54" s="171" t="str">
        <f t="shared" si="50"/>
        <v>40.1944835412033-43.3566822824263i</v>
      </c>
      <c r="AD54" s="190">
        <f t="shared" si="51"/>
        <v>35.4349668380952</v>
      </c>
      <c r="AE54" s="169">
        <f t="shared" si="52"/>
        <v>-47.167464748545576</v>
      </c>
      <c r="AF54" s="98" t="str">
        <f t="shared" si="37"/>
        <v>-0.0000673063927557778</v>
      </c>
      <c r="AG54" s="98" t="str">
        <f t="shared" si="38"/>
        <v>1.44918248092041E-06i</v>
      </c>
      <c r="AH54" s="98">
        <f t="shared" si="53"/>
        <v>1.4491824809204099E-6</v>
      </c>
      <c r="AI54" s="98">
        <f t="shared" si="54"/>
        <v>1.5707963267948966</v>
      </c>
      <c r="AJ54" s="98" t="str">
        <f t="shared" si="39"/>
        <v>1+0.00145826627891287i</v>
      </c>
      <c r="AK54" s="98">
        <f t="shared" si="55"/>
        <v>1.0000010632697047</v>
      </c>
      <c r="AL54" s="98">
        <f t="shared" si="56"/>
        <v>1.4582652452267354E-3</v>
      </c>
      <c r="AM54" s="98" t="str">
        <f t="shared" si="40"/>
        <v>1+0.215909189648452i</v>
      </c>
      <c r="AN54" s="98">
        <f t="shared" si="57"/>
        <v>1.0230429014340754</v>
      </c>
      <c r="AO54" s="98">
        <f t="shared" si="58"/>
        <v>0.21264501669923933</v>
      </c>
      <c r="AP54" s="168" t="str">
        <f t="shared" si="59"/>
        <v>-9.96002061226644+46.4589118992508i</v>
      </c>
      <c r="AQ54" s="98">
        <f t="shared" si="60"/>
        <v>33.536532494399943</v>
      </c>
      <c r="AR54" s="169">
        <f t="shared" si="61"/>
        <v>102.10010954739317</v>
      </c>
      <c r="AS54" s="168" t="str">
        <f t="shared" si="62"/>
        <v>1613.96639783326+2299.2254188891i</v>
      </c>
      <c r="AT54" s="190">
        <f t="shared" si="63"/>
        <v>68.971499332495128</v>
      </c>
      <c r="AU54" s="169">
        <f t="shared" si="64"/>
        <v>54.932644798847612</v>
      </c>
      <c r="AV54" s="225"/>
      <c r="AX54">
        <f t="shared" si="65"/>
        <v>0</v>
      </c>
      <c r="AY54">
        <f t="shared" si="66"/>
        <v>0</v>
      </c>
    </row>
    <row r="55" spans="1:51" x14ac:dyDescent="0.25">
      <c r="A55" s="98" t="s">
        <v>224</v>
      </c>
      <c r="B55" s="187">
        <f>RFBT</f>
        <v>71500</v>
      </c>
      <c r="C55" s="206" t="s">
        <v>36</v>
      </c>
      <c r="E55" s="98" t="s">
        <v>227</v>
      </c>
      <c r="N55" s="170">
        <v>37</v>
      </c>
      <c r="O55" s="199">
        <f t="shared" si="41"/>
        <v>23.442288153199236</v>
      </c>
      <c r="P55" s="189" t="str">
        <f t="shared" si="32"/>
        <v>87</v>
      </c>
      <c r="Q55" s="160" t="str">
        <f t="shared" si="33"/>
        <v>1+1.10469180368139i</v>
      </c>
      <c r="R55" s="160">
        <f t="shared" si="42"/>
        <v>1.4900818706100825</v>
      </c>
      <c r="S55" s="160">
        <f t="shared" si="43"/>
        <v>0.83509930536291699</v>
      </c>
      <c r="T55" s="160" t="str">
        <f t="shared" si="34"/>
        <v>1+0.00073646120245426i</v>
      </c>
      <c r="U55" s="160">
        <f t="shared" si="44"/>
        <v>1.0000002711875147</v>
      </c>
      <c r="V55" s="160">
        <f t="shared" si="45"/>
        <v>7.3646106930822983E-4</v>
      </c>
      <c r="W55" s="98" t="str">
        <f t="shared" si="35"/>
        <v>1-0.00010433200368102i</v>
      </c>
      <c r="X55" s="160">
        <f t="shared" si="46"/>
        <v>1.0000000054425835</v>
      </c>
      <c r="Y55" s="160">
        <f t="shared" si="47"/>
        <v>-1.0433200330246291E-4</v>
      </c>
      <c r="Z55" s="98" t="str">
        <f t="shared" si="36"/>
        <v>0.999999996092154+0.000219170853850388i</v>
      </c>
      <c r="AA55" s="160">
        <f t="shared" si="48"/>
        <v>1.0000000201100854</v>
      </c>
      <c r="AB55" s="160">
        <f t="shared" si="49"/>
        <v>2.191708511975203E-4</v>
      </c>
      <c r="AC55" s="171" t="str">
        <f t="shared" si="50"/>
        <v>39.2009996259242-43.2690956099922i</v>
      </c>
      <c r="AD55" s="190">
        <f t="shared" si="51"/>
        <v>35.326184664212548</v>
      </c>
      <c r="AE55" s="169">
        <f t="shared" si="52"/>
        <v>-47.824004908777979</v>
      </c>
      <c r="AF55" s="98" t="str">
        <f t="shared" si="37"/>
        <v>-0.0000673063927557778</v>
      </c>
      <c r="AG55" s="98" t="str">
        <f t="shared" si="38"/>
        <v>1.48293827726189E-06i</v>
      </c>
      <c r="AH55" s="98">
        <f t="shared" si="53"/>
        <v>1.4829382772618899E-6</v>
      </c>
      <c r="AI55" s="98">
        <f t="shared" si="54"/>
        <v>1.5707963267948966</v>
      </c>
      <c r="AJ55" s="98" t="str">
        <f t="shared" si="39"/>
        <v>1+0.00149223366409087i</v>
      </c>
      <c r="AK55" s="98">
        <f t="shared" si="55"/>
        <v>1.0000011133800344</v>
      </c>
      <c r="AL55" s="98">
        <f t="shared" si="56"/>
        <v>1.4922325564762878E-3</v>
      </c>
      <c r="AM55" s="98" t="str">
        <f t="shared" si="40"/>
        <v>1+0.220938360736278i</v>
      </c>
      <c r="AN55" s="98">
        <f t="shared" si="57"/>
        <v>1.0241160868011172</v>
      </c>
      <c r="AO55" s="98">
        <f t="shared" si="58"/>
        <v>0.21744516929370186</v>
      </c>
      <c r="AP55" s="168" t="str">
        <f t="shared" si="59"/>
        <v>-9.96001961406781+45.4020468822692i</v>
      </c>
      <c r="AQ55" s="98">
        <f t="shared" si="60"/>
        <v>33.345638895076647</v>
      </c>
      <c r="AR55" s="169">
        <f t="shared" si="61"/>
        <v>102.37319184849866</v>
      </c>
      <c r="AS55" s="168" t="str">
        <f t="shared" si="62"/>
        <v>1574.06278227298+2210.76666380653i</v>
      </c>
      <c r="AT55" s="190">
        <f t="shared" si="63"/>
        <v>68.671823559289194</v>
      </c>
      <c r="AU55" s="169">
        <f t="shared" si="64"/>
        <v>54.549186939720819</v>
      </c>
      <c r="AV55" s="225"/>
      <c r="AX55">
        <f t="shared" si="65"/>
        <v>0</v>
      </c>
      <c r="AY55">
        <f t="shared" si="66"/>
        <v>0</v>
      </c>
    </row>
    <row r="56" spans="1:51" x14ac:dyDescent="0.25">
      <c r="A56" s="98" t="s">
        <v>225</v>
      </c>
      <c r="B56" s="187">
        <f>RFBB</f>
        <v>2490</v>
      </c>
      <c r="C56" s="206" t="s">
        <v>36</v>
      </c>
      <c r="E56" s="98" t="s">
        <v>228</v>
      </c>
      <c r="N56" s="170">
        <v>38</v>
      </c>
      <c r="O56" s="199">
        <f t="shared" si="41"/>
        <v>23.988329190194907</v>
      </c>
      <c r="P56" s="189" t="str">
        <f t="shared" si="32"/>
        <v>87</v>
      </c>
      <c r="Q56" s="160" t="str">
        <f t="shared" si="33"/>
        <v>1+1.13042338133715i</v>
      </c>
      <c r="R56" s="160">
        <f t="shared" si="42"/>
        <v>1.5092571090022122</v>
      </c>
      <c r="S56" s="160">
        <f t="shared" si="43"/>
        <v>0.846541320812913</v>
      </c>
      <c r="T56" s="160" t="str">
        <f t="shared" si="34"/>
        <v>1+0.0007536155875581i</v>
      </c>
      <c r="U56" s="160">
        <f t="shared" si="44"/>
        <v>1.0000002839681865</v>
      </c>
      <c r="V56" s="160">
        <f t="shared" si="45"/>
        <v>7.5361544488956043E-4</v>
      </c>
      <c r="W56" s="98" t="str">
        <f t="shared" si="35"/>
        <v>1-0.000106762208237398i</v>
      </c>
      <c r="X56" s="160">
        <f t="shared" si="46"/>
        <v>1.0000000056990845</v>
      </c>
      <c r="Y56" s="160">
        <f t="shared" si="47"/>
        <v>-1.0676220783176678E-4</v>
      </c>
      <c r="Z56" s="98" t="str">
        <f t="shared" si="36"/>
        <v>0.999999995907983+0.000224275998857291i</v>
      </c>
      <c r="AA56" s="160">
        <f t="shared" si="48"/>
        <v>1.0000000210578448</v>
      </c>
      <c r="AB56" s="160">
        <f t="shared" si="49"/>
        <v>2.2427599601469202E-4</v>
      </c>
      <c r="AC56" s="171" t="str">
        <f t="shared" si="50"/>
        <v>38.2120448911693-43.1590247649309i</v>
      </c>
      <c r="AD56" s="190">
        <f t="shared" si="51"/>
        <v>35.215122782027976</v>
      </c>
      <c r="AE56" s="169">
        <f t="shared" si="52"/>
        <v>-48.479032973580175</v>
      </c>
      <c r="AF56" s="98" t="str">
        <f t="shared" si="37"/>
        <v>-0.0000673063927557778</v>
      </c>
      <c r="AG56" s="98" t="str">
        <f t="shared" si="38"/>
        <v>1.51748034710699E-06i</v>
      </c>
      <c r="AH56" s="98">
        <f t="shared" si="53"/>
        <v>1.51748034710699E-6</v>
      </c>
      <c r="AI56" s="98">
        <f t="shared" si="54"/>
        <v>1.5707963267948966</v>
      </c>
      <c r="AJ56" s="98" t="str">
        <f t="shared" si="39"/>
        <v>1+0.00152699225130962i</v>
      </c>
      <c r="AK56" s="98">
        <f t="shared" si="55"/>
        <v>1.0000011658519881</v>
      </c>
      <c r="AL56" s="98">
        <f t="shared" si="56"/>
        <v>1.5269910644792873E-3</v>
      </c>
      <c r="AM56" s="98" t="str">
        <f t="shared" si="40"/>
        <v>1+0.22608467626743i</v>
      </c>
      <c r="AN56" s="98">
        <f t="shared" si="57"/>
        <v>1.0252386458005514</v>
      </c>
      <c r="AO56" s="98">
        <f t="shared" si="58"/>
        <v>0.22234661270241771</v>
      </c>
      <c r="AP56" s="168" t="str">
        <f t="shared" si="59"/>
        <v>-9.96001856882565+44.3692546313711i</v>
      </c>
      <c r="AQ56" s="98">
        <f t="shared" si="60"/>
        <v>33.155154043810249</v>
      </c>
      <c r="AR56" s="169">
        <f t="shared" si="61"/>
        <v>102.65203235352956</v>
      </c>
      <c r="AS56" s="168" t="str">
        <f t="shared" si="62"/>
        <v>1534.34108276802+2125.30463783279i</v>
      </c>
      <c r="AT56" s="190">
        <f t="shared" si="63"/>
        <v>68.370276825838218</v>
      </c>
      <c r="AU56" s="169">
        <f t="shared" si="64"/>
        <v>54.172999379949459</v>
      </c>
      <c r="AV56" s="225"/>
      <c r="AX56">
        <f t="shared" si="65"/>
        <v>0</v>
      </c>
      <c r="AY56">
        <f t="shared" si="66"/>
        <v>0</v>
      </c>
    </row>
    <row r="57" spans="1:51" x14ac:dyDescent="0.25">
      <c r="A57" s="98" t="s">
        <v>214</v>
      </c>
      <c r="B57" s="187">
        <f>RCOMP</f>
        <v>150000</v>
      </c>
      <c r="C57" s="206" t="s">
        <v>36</v>
      </c>
      <c r="E57" s="98" t="s">
        <v>221</v>
      </c>
      <c r="N57" s="170">
        <v>39</v>
      </c>
      <c r="O57" s="199">
        <f t="shared" si="41"/>
        <v>24.547089156850316</v>
      </c>
      <c r="P57" s="189" t="str">
        <f t="shared" si="32"/>
        <v>87</v>
      </c>
      <c r="Q57" s="160" t="str">
        <f t="shared" si="33"/>
        <v>1+1.15675432443262i</v>
      </c>
      <c r="R57" s="160">
        <f t="shared" si="42"/>
        <v>1.5290783390963223</v>
      </c>
      <c r="S57" s="160">
        <f t="shared" si="43"/>
        <v>0.8579512479602468</v>
      </c>
      <c r="T57" s="160" t="str">
        <f t="shared" si="34"/>
        <v>1+0.000771169549621745i</v>
      </c>
      <c r="U57" s="160">
        <f t="shared" si="44"/>
        <v>1.0000002973511928</v>
      </c>
      <c r="V57" s="160">
        <f t="shared" si="45"/>
        <v>7.7116939674965314E-4</v>
      </c>
      <c r="W57" s="98" t="str">
        <f t="shared" si="35"/>
        <v>1-0.000109249019529747i</v>
      </c>
      <c r="X57" s="160">
        <f t="shared" si="46"/>
        <v>1.0000000059676741</v>
      </c>
      <c r="Y57" s="160">
        <f t="shared" si="47"/>
        <v>-1.0924901909510531E-4</v>
      </c>
      <c r="Z57" s="98" t="str">
        <f t="shared" si="36"/>
        <v>0.999999995715132+0.000229500057967431i</v>
      </c>
      <c r="AA57" s="160">
        <f t="shared" si="48"/>
        <v>1.0000000220502698</v>
      </c>
      <c r="AB57" s="160">
        <f t="shared" si="49"/>
        <v>2.2950005492153137E-4</v>
      </c>
      <c r="AC57" s="171" t="str">
        <f t="shared" si="50"/>
        <v>37.228629041776-43.0267570592854i</v>
      </c>
      <c r="AD57" s="190">
        <f t="shared" si="51"/>
        <v>35.10179277259963</v>
      </c>
      <c r="AE57" s="169">
        <f t="shared" si="52"/>
        <v>-49.132209676635846</v>
      </c>
      <c r="AF57" s="98" t="str">
        <f t="shared" si="37"/>
        <v>-0.0000673063927557778</v>
      </c>
      <c r="AG57" s="98" t="str">
        <f t="shared" si="38"/>
        <v>1.55282700511835E-06i</v>
      </c>
      <c r="AH57" s="98">
        <f t="shared" si="53"/>
        <v>1.55282700511835E-6</v>
      </c>
      <c r="AI57" s="98">
        <f t="shared" si="54"/>
        <v>1.5707963267948966</v>
      </c>
      <c r="AJ57" s="98" t="str">
        <f t="shared" si="39"/>
        <v>1+0.00156256047003214i</v>
      </c>
      <c r="AK57" s="98">
        <f t="shared" si="55"/>
        <v>1.000001220796866</v>
      </c>
      <c r="AL57" s="98">
        <f t="shared" si="56"/>
        <v>1.56255919832061E-3</v>
      </c>
      <c r="AM57" s="98" t="str">
        <f t="shared" si="40"/>
        <v>1+0.231350864886523i</v>
      </c>
      <c r="AN57" s="98">
        <f t="shared" si="57"/>
        <v>1.026412793511335</v>
      </c>
      <c r="AO57" s="98">
        <f t="shared" si="58"/>
        <v>0.22735100328361937</v>
      </c>
      <c r="AP57" s="168" t="str">
        <f t="shared" si="59"/>
        <v>-9.96001747432294+43.3599875464246i</v>
      </c>
      <c r="AQ57" s="98">
        <f t="shared" si="60"/>
        <v>32.965095331870089</v>
      </c>
      <c r="AR57" s="169">
        <f t="shared" si="61"/>
        <v>102.93672490891316</v>
      </c>
      <c r="AS57" s="168" t="str">
        <f t="shared" si="62"/>
        <v>1494.84185445248+2042.7801437958i</v>
      </c>
      <c r="AT57" s="190">
        <f t="shared" si="63"/>
        <v>68.066888104469726</v>
      </c>
      <c r="AU57" s="169">
        <f t="shared" si="64"/>
        <v>53.804515232277275</v>
      </c>
      <c r="AV57" s="225"/>
      <c r="AX57">
        <f t="shared" si="65"/>
        <v>0</v>
      </c>
      <c r="AY57">
        <f t="shared" si="66"/>
        <v>0</v>
      </c>
    </row>
    <row r="58" spans="1:51" x14ac:dyDescent="0.25">
      <c r="A58" s="98" t="s">
        <v>219</v>
      </c>
      <c r="B58" s="187">
        <f>CCOMP</f>
        <v>1E-8</v>
      </c>
      <c r="C58" s="206" t="s">
        <v>193</v>
      </c>
      <c r="E58" s="98" t="s">
        <v>222</v>
      </c>
      <c r="N58" s="170">
        <v>40</v>
      </c>
      <c r="O58" s="199">
        <f t="shared" si="41"/>
        <v>25.118864315095799</v>
      </c>
      <c r="P58" s="189" t="str">
        <f t="shared" si="32"/>
        <v>87</v>
      </c>
      <c r="Q58" s="160" t="str">
        <f t="shared" si="33"/>
        <v>1+1.18369859398236i</v>
      </c>
      <c r="R58" s="160">
        <f t="shared" si="42"/>
        <v>1.5495619901752289</v>
      </c>
      <c r="S58" s="160">
        <f t="shared" si="43"/>
        <v>0.86932325406682032</v>
      </c>
      <c r="T58" s="160" t="str">
        <f t="shared" si="34"/>
        <v>1+0.00078913239598824i</v>
      </c>
      <c r="U58" s="160">
        <f t="shared" si="44"/>
        <v>1.0000003113649207</v>
      </c>
      <c r="V58" s="160">
        <f t="shared" si="45"/>
        <v>7.8913223218284511E-4</v>
      </c>
      <c r="W58" s="98" t="str">
        <f t="shared" si="35"/>
        <v>1-0.000111793756098334i</v>
      </c>
      <c r="X58" s="160">
        <f t="shared" si="46"/>
        <v>1.0000000062489218</v>
      </c>
      <c r="Y58" s="160">
        <f t="shared" si="47"/>
        <v>-1.1179375563260703E-4</v>
      </c>
      <c r="Z58" s="98" t="str">
        <f t="shared" si="36"/>
        <v>0.999999995513192+0.0002348458010461i</v>
      </c>
      <c r="AA58" s="160">
        <f t="shared" si="48"/>
        <v>1.0000000230894668</v>
      </c>
      <c r="AB58" s="160">
        <f t="shared" si="49"/>
        <v>2.3484579778235983E-4</v>
      </c>
      <c r="AC58" s="171" t="str">
        <f t="shared" si="50"/>
        <v>36.2517388391454-42.8726354201774i</v>
      </c>
      <c r="AD58" s="190">
        <f t="shared" si="51"/>
        <v>34.986208513399063</v>
      </c>
      <c r="AE58" s="169">
        <f t="shared" si="52"/>
        <v>-49.783200527648994</v>
      </c>
      <c r="AF58" s="98" t="str">
        <f t="shared" si="37"/>
        <v>-0.0000673063927557778</v>
      </c>
      <c r="AG58" s="98" t="str">
        <f t="shared" si="38"/>
        <v>1.58899699256192E-06i</v>
      </c>
      <c r="AH58" s="98">
        <f t="shared" si="53"/>
        <v>1.58899699256192E-6</v>
      </c>
      <c r="AI58" s="98">
        <f t="shared" si="54"/>
        <v>1.5707963267948966</v>
      </c>
      <c r="AJ58" s="98" t="str">
        <f t="shared" si="39"/>
        <v>1+0.00159895717899882i</v>
      </c>
      <c r="AK58" s="98">
        <f t="shared" si="55"/>
        <v>1.0000012783312131</v>
      </c>
      <c r="AL58" s="98">
        <f t="shared" si="56"/>
        <v>1.5989558163354591E-3</v>
      </c>
      <c r="AM58" s="98" t="str">
        <f t="shared" si="40"/>
        <v>1+0.236739718796472i</v>
      </c>
      <c r="AN58" s="98">
        <f t="shared" si="57"/>
        <v>1.0276408392312133</v>
      </c>
      <c r="AO58" s="98">
        <f t="shared" si="58"/>
        <v>0.23245999134440729</v>
      </c>
      <c r="AP58" s="168" t="str">
        <f t="shared" si="59"/>
        <v>-9.9600163282383+42.3737105006513i</v>
      </c>
      <c r="AQ58" s="98">
        <f t="shared" si="60"/>
        <v>32.775480803263427</v>
      </c>
      <c r="AR58" s="169">
        <f t="shared" si="61"/>
        <v>103.22736298977826</v>
      </c>
      <c r="AS58" s="168" t="str">
        <f t="shared" si="62"/>
        <v>1455.60473092965+1963.13283553474i</v>
      </c>
      <c r="AT58" s="190">
        <f t="shared" si="63"/>
        <v>67.761689316662498</v>
      </c>
      <c r="AU58" s="169">
        <f t="shared" si="64"/>
        <v>53.444162462129235</v>
      </c>
      <c r="AV58" s="225"/>
      <c r="AX58">
        <f t="shared" si="65"/>
        <v>0</v>
      </c>
      <c r="AY58">
        <f t="shared" si="66"/>
        <v>0</v>
      </c>
    </row>
    <row r="59" spans="1:51" x14ac:dyDescent="0.25">
      <c r="A59" s="98" t="s">
        <v>220</v>
      </c>
      <c r="B59" s="187">
        <f>CHF</f>
        <v>6.7999999999999998E-11</v>
      </c>
      <c r="C59" s="206" t="s">
        <v>193</v>
      </c>
      <c r="E59" s="98" t="s">
        <v>223</v>
      </c>
      <c r="N59" s="170">
        <v>41</v>
      </c>
      <c r="O59" s="199">
        <f t="shared" si="41"/>
        <v>25.703957827688647</v>
      </c>
      <c r="P59" s="189" t="str">
        <f t="shared" si="32"/>
        <v>87</v>
      </c>
      <c r="Q59" s="160" t="str">
        <f t="shared" si="33"/>
        <v>1+1.21127047619473i</v>
      </c>
      <c r="R59" s="160">
        <f t="shared" si="42"/>
        <v>1.570724726519898</v>
      </c>
      <c r="S59" s="160">
        <f t="shared" si="43"/>
        <v>0.88065160431844525</v>
      </c>
      <c r="T59" s="160" t="str">
        <f t="shared" si="34"/>
        <v>1+0.000807513650796485i</v>
      </c>
      <c r="U59" s="160">
        <f t="shared" si="44"/>
        <v>1.0000003260390951</v>
      </c>
      <c r="V59" s="160">
        <f t="shared" si="45"/>
        <v>8.0751347527584509E-4</v>
      </c>
      <c r="W59" s="98" t="str">
        <f t="shared" si="35"/>
        <v>1-0.000114397767196169i</v>
      </c>
      <c r="X59" s="160">
        <f t="shared" si="46"/>
        <v>1.0000000065434245</v>
      </c>
      <c r="Y59" s="160">
        <f t="shared" si="47"/>
        <v>-1.1439776669713357E-4</v>
      </c>
      <c r="Z59" s="98" t="str">
        <f t="shared" si="36"/>
        <v>0.999999995301735+0.000240316062477034i</v>
      </c>
      <c r="AA59" s="160">
        <f t="shared" si="48"/>
        <v>1.0000000241776397</v>
      </c>
      <c r="AB59" s="160">
        <f t="shared" si="49"/>
        <v>2.4031605897987347E-4</v>
      </c>
      <c r="AC59" s="171" t="str">
        <f t="shared" si="50"/>
        <v>35.2823342634538-42.6970562442372i</v>
      </c>
      <c r="AD59" s="190">
        <f t="shared" si="51"/>
        <v>34.868386121094417</v>
      </c>
      <c r="AE59" s="169">
        <f t="shared" si="52"/>
        <v>-50.43167663998485</v>
      </c>
      <c r="AF59" s="98" t="str">
        <f t="shared" si="37"/>
        <v>-0.0000673063927557778</v>
      </c>
      <c r="AG59" s="98" t="str">
        <f t="shared" si="38"/>
        <v>0.0000016260094872438i</v>
      </c>
      <c r="AH59" s="98">
        <f t="shared" si="53"/>
        <v>1.6260094872438E-6</v>
      </c>
      <c r="AI59" s="98">
        <f t="shared" si="54"/>
        <v>1.5707963267948966</v>
      </c>
      <c r="AJ59" s="98" t="str">
        <f t="shared" si="39"/>
        <v>1+0.00163620167622649i</v>
      </c>
      <c r="AK59" s="98">
        <f t="shared" si="55"/>
        <v>1.0000013385770667</v>
      </c>
      <c r="AL59" s="98">
        <f t="shared" si="56"/>
        <v>1.6362002161064979E-3</v>
      </c>
      <c r="AM59" s="98" t="str">
        <f t="shared" si="40"/>
        <v>1+0.242254095238945i</v>
      </c>
      <c r="AN59" s="98">
        <f t="shared" si="57"/>
        <v>1.0289251900211402</v>
      </c>
      <c r="AO59" s="98">
        <f t="shared" si="58"/>
        <v>0.23767521843571679</v>
      </c>
      <c r="AP59" s="168" t="str">
        <f t="shared" si="59"/>
        <v>-9.96001512814055+41.4099005568951i</v>
      </c>
      <c r="AQ59" s="98">
        <f t="shared" si="60"/>
        <v>32.58632917129168</v>
      </c>
      <c r="AR59" s="169">
        <f t="shared" si="61"/>
        <v>103.52403954439522</v>
      </c>
      <c r="AS59" s="168" t="str">
        <f t="shared" si="62"/>
        <v>1416.66827012591+1886.30127938443i</v>
      </c>
      <c r="AT59" s="190">
        <f t="shared" si="63"/>
        <v>67.454715292386112</v>
      </c>
      <c r="AU59" s="169">
        <f t="shared" si="64"/>
        <v>53.092362904410408</v>
      </c>
      <c r="AV59" s="225"/>
      <c r="AX59">
        <f t="shared" si="65"/>
        <v>0</v>
      </c>
      <c r="AY59">
        <f t="shared" si="66"/>
        <v>0</v>
      </c>
    </row>
    <row r="60" spans="1:51" x14ac:dyDescent="0.25">
      <c r="N60" s="170">
        <v>42</v>
      </c>
      <c r="O60" s="199">
        <f t="shared" si="41"/>
        <v>26.302679918953825</v>
      </c>
      <c r="P60" s="189" t="str">
        <f t="shared" si="32"/>
        <v>87</v>
      </c>
      <c r="Q60" s="160" t="str">
        <f t="shared" si="33"/>
        <v>1+1.23948459004664i</v>
      </c>
      <c r="R60" s="160">
        <f t="shared" si="42"/>
        <v>1.5925834511770762</v>
      </c>
      <c r="S60" s="160">
        <f t="shared" si="43"/>
        <v>0.89193067566363771</v>
      </c>
      <c r="T60" s="160" t="str">
        <f t="shared" si="34"/>
        <v>1+0.00082632306003109i</v>
      </c>
      <c r="U60" s="160">
        <f t="shared" si="44"/>
        <v>1.0000003414048415</v>
      </c>
      <c r="V60" s="160">
        <f t="shared" si="45"/>
        <v>8.2632287195733944E-4</v>
      </c>
      <c r="W60" s="98" t="str">
        <f t="shared" si="35"/>
        <v>1-0.000117062433504405i</v>
      </c>
      <c r="X60" s="160">
        <f t="shared" si="46"/>
        <v>1.0000000068518067</v>
      </c>
      <c r="Y60" s="160">
        <f t="shared" si="47"/>
        <v>-1.1706243296967891E-4</v>
      </c>
      <c r="Z60" s="98" t="str">
        <f t="shared" si="36"/>
        <v>0.999999995080313+0.000245913742665252i</v>
      </c>
      <c r="AA60" s="160">
        <f t="shared" si="48"/>
        <v>1.0000000253170971</v>
      </c>
      <c r="AB60" s="160">
        <f t="shared" si="49"/>
        <v>2.4591373891797688E-4</v>
      </c>
      <c r="AC60" s="171" t="str">
        <f t="shared" si="50"/>
        <v>34.3213449064485-42.5004669467369i</v>
      </c>
      <c r="AD60" s="190">
        <f t="shared" si="51"/>
        <v>34.748343885767028</v>
      </c>
      <c r="AE60" s="169">
        <f t="shared" si="52"/>
        <v>-51.077315523412999</v>
      </c>
      <c r="AF60" s="98" t="str">
        <f t="shared" si="37"/>
        <v>-0.0000673063927557778</v>
      </c>
      <c r="AG60" s="98" t="str">
        <f t="shared" si="38"/>
        <v>0.0000016638841136786i</v>
      </c>
      <c r="AH60" s="98">
        <f t="shared" si="53"/>
        <v>1.6638841136786E-6</v>
      </c>
      <c r="AI60" s="98">
        <f t="shared" si="54"/>
        <v>1.5707963267948966</v>
      </c>
      <c r="AJ60" s="98" t="str">
        <f t="shared" si="39"/>
        <v>1+0.00167431370924059i</v>
      </c>
      <c r="AK60" s="98">
        <f t="shared" si="55"/>
        <v>1.0000014016622161</v>
      </c>
      <c r="AL60" s="98">
        <f t="shared" si="56"/>
        <v>1.6743121446939489E-3</v>
      </c>
      <c r="AM60" s="98" t="str">
        <f t="shared" si="40"/>
        <v>1+0.247896918009327i</v>
      </c>
      <c r="AN60" s="98">
        <f t="shared" si="57"/>
        <v>1.0302683543419757</v>
      </c>
      <c r="AO60" s="98">
        <f t="shared" si="58"/>
        <v>0.24299831446776129</v>
      </c>
      <c r="AP60" s="168" t="str">
        <f t="shared" si="59"/>
        <v>-9.96001387148429+40.4680466903539i</v>
      </c>
      <c r="AQ60" s="98">
        <f t="shared" si="60"/>
        <v>32.397659834769762</v>
      </c>
      <c r="AR60" s="169">
        <f t="shared" si="61"/>
        <v>103.82684682831703</v>
      </c>
      <c r="AS60" s="168" t="str">
        <f t="shared" si="62"/>
        <v>1378.06980940617+1812.22302848396i</v>
      </c>
      <c r="AT60" s="190">
        <f t="shared" si="63"/>
        <v>67.146003720536797</v>
      </c>
      <c r="AU60" s="169">
        <f t="shared" si="64"/>
        <v>52.749531304904046</v>
      </c>
      <c r="AV60" s="225"/>
      <c r="AX60">
        <f t="shared" si="65"/>
        <v>0</v>
      </c>
      <c r="AY60">
        <f t="shared" si="66"/>
        <v>0</v>
      </c>
    </row>
    <row r="61" spans="1:51" x14ac:dyDescent="0.25">
      <c r="A61" s="98" t="s">
        <v>264</v>
      </c>
      <c r="B61" s="211">
        <f>-(RFBB*gm_ea)/(RFBB+RFBT)</f>
        <v>-6.730639275577782E-5</v>
      </c>
      <c r="C61" s="98" t="s">
        <v>180</v>
      </c>
      <c r="N61" s="170">
        <v>43</v>
      </c>
      <c r="O61" s="199">
        <f t="shared" si="41"/>
        <v>26.915348039269158</v>
      </c>
      <c r="P61" s="189" t="str">
        <f t="shared" si="32"/>
        <v>87</v>
      </c>
      <c r="Q61" s="160" t="str">
        <f t="shared" si="33"/>
        <v>1+1.26835589503471i</v>
      </c>
      <c r="R61" s="160">
        <f t="shared" si="42"/>
        <v>1.6151553103244594</v>
      </c>
      <c r="S61" s="160">
        <f t="shared" si="43"/>
        <v>0.90315496996611544</v>
      </c>
      <c r="T61" s="160" t="str">
        <f t="shared" si="34"/>
        <v>1+0.000845570596689805i</v>
      </c>
      <c r="U61" s="160">
        <f t="shared" si="44"/>
        <v>1.0000003574947531</v>
      </c>
      <c r="V61" s="160">
        <f t="shared" si="45"/>
        <v>8.4557039516515431E-4</v>
      </c>
      <c r="W61" s="98" t="str">
        <f t="shared" si="35"/>
        <v>1-0.000119789167864389i</v>
      </c>
      <c r="X61" s="160">
        <f t="shared" si="46"/>
        <v>1.0000000071747224</v>
      </c>
      <c r="Y61" s="160">
        <f t="shared" si="47"/>
        <v>-1.1978916729141966E-4</v>
      </c>
      <c r="Z61" s="98" t="str">
        <f t="shared" si="36"/>
        <v>0.999999994848455+0.000251641809574886i</v>
      </c>
      <c r="AA61" s="160">
        <f t="shared" si="48"/>
        <v>1.0000000265102549</v>
      </c>
      <c r="AB61" s="160">
        <f t="shared" si="49"/>
        <v>2.5164180555960842E-4</v>
      </c>
      <c r="AC61" s="171" t="str">
        <f t="shared" si="50"/>
        <v>33.3696666219825-42.2833632331895i</v>
      </c>
      <c r="AD61" s="190">
        <f t="shared" si="51"/>
        <v>34.626102197124325</v>
      </c>
      <c r="AE61" s="169">
        <f t="shared" si="52"/>
        <v>-51.719801837523583</v>
      </c>
      <c r="AF61" s="98" t="str">
        <f t="shared" si="37"/>
        <v>-0.0000673063927557778</v>
      </c>
      <c r="AG61" s="98" t="str">
        <f t="shared" si="38"/>
        <v>1.70264095349459E-06i</v>
      </c>
      <c r="AH61" s="98">
        <f t="shared" si="53"/>
        <v>1.70264095349459E-6</v>
      </c>
      <c r="AI61" s="98">
        <f t="shared" si="54"/>
        <v>1.5707963267948966</v>
      </c>
      <c r="AJ61" s="98" t="str">
        <f t="shared" si="39"/>
        <v>1+0.00171331348554549i</v>
      </c>
      <c r="AK61" s="98">
        <f t="shared" si="55"/>
        <v>1.0000014677204727</v>
      </c>
      <c r="AL61" s="98">
        <f t="shared" si="56"/>
        <v>1.713311809103693E-3</v>
      </c>
      <c r="AM61" s="98" t="str">
        <f t="shared" si="40"/>
        <v>1+0.253671179006941i</v>
      </c>
      <c r="AN61" s="98">
        <f t="shared" si="57"/>
        <v>1.031672945782127</v>
      </c>
      <c r="AO61" s="98">
        <f t="shared" si="58"/>
        <v>0.24843089464000659</v>
      </c>
      <c r="AP61" s="168" t="str">
        <f t="shared" si="59"/>
        <v>-9.96001255560393+39.5476495176273i</v>
      </c>
      <c r="AQ61" s="98">
        <f t="shared" si="60"/>
        <v>32.209492893817561</v>
      </c>
      <c r="AR61" s="169">
        <f t="shared" si="61"/>
        <v>104.13587622788003</v>
      </c>
      <c r="AS61" s="168" t="str">
        <f t="shared" si="62"/>
        <v>1339.84533104144+1740.83470878196i</v>
      </c>
      <c r="AT61" s="190">
        <f t="shared" si="63"/>
        <v>66.835595090941879</v>
      </c>
      <c r="AU61" s="169">
        <f t="shared" si="64"/>
        <v>52.416074390356535</v>
      </c>
      <c r="AV61" s="225"/>
      <c r="AX61">
        <f t="shared" si="65"/>
        <v>0</v>
      </c>
      <c r="AY61">
        <f t="shared" si="66"/>
        <v>0</v>
      </c>
    </row>
    <row r="62" spans="1:51" x14ac:dyDescent="0.25">
      <c r="A62" s="98" t="s">
        <v>263</v>
      </c>
      <c r="B62" s="211">
        <f>1/(RCOMP*CCOMP)</f>
        <v>666.66666666666663</v>
      </c>
      <c r="E62" s="98" t="s">
        <v>278</v>
      </c>
      <c r="N62" s="170">
        <v>44</v>
      </c>
      <c r="O62" s="199">
        <f t="shared" si="41"/>
        <v>27.542287033381665</v>
      </c>
      <c r="P62" s="189" t="str">
        <f t="shared" si="32"/>
        <v>87</v>
      </c>
      <c r="Q62" s="160" t="str">
        <f t="shared" si="33"/>
        <v>1+1.29789969910701i</v>
      </c>
      <c r="R62" s="160">
        <f t="shared" si="42"/>
        <v>1.6384576982461485</v>
      </c>
      <c r="S62" s="160">
        <f t="shared" si="43"/>
        <v>0.9143191264015077</v>
      </c>
      <c r="T62" s="160" t="str">
        <f t="shared" si="34"/>
        <v>1+0.000865266466071335i</v>
      </c>
      <c r="U62" s="160">
        <f t="shared" si="44"/>
        <v>1.0000003743429586</v>
      </c>
      <c r="V62" s="160">
        <f t="shared" si="45"/>
        <v>8.6526625013378571E-4</v>
      </c>
      <c r="W62" s="98" t="str">
        <f t="shared" si="35"/>
        <v>1-0.000122579416026773i</v>
      </c>
      <c r="X62" s="160">
        <f t="shared" si="46"/>
        <v>1.0000000075128566</v>
      </c>
      <c r="Y62" s="160">
        <f t="shared" si="47"/>
        <v>-1.2257941541282528E-4</v>
      </c>
      <c r="Z62" s="98" t="str">
        <f t="shared" si="36"/>
        <v>0.999999994605671+0.000257503300302829i</v>
      </c>
      <c r="AA62" s="160">
        <f t="shared" si="48"/>
        <v>1.0000000277596455</v>
      </c>
      <c r="AB62" s="160">
        <f t="shared" si="49"/>
        <v>2.575032960003814E-4</v>
      </c>
      <c r="AC62" s="171" t="str">
        <f t="shared" si="50"/>
        <v>32.4281584577496-42.0462861237482i</v>
      </c>
      <c r="AD62" s="190">
        <f t="shared" si="51"/>
        <v>34.501683463328959</v>
      </c>
      <c r="AE62" s="169">
        <f t="shared" si="52"/>
        <v>-52.358828101836849</v>
      </c>
      <c r="AF62" s="98" t="str">
        <f t="shared" si="37"/>
        <v>-0.0000673063927557778</v>
      </c>
      <c r="AG62" s="98" t="str">
        <f t="shared" si="38"/>
        <v>1.74230055608124E-06i</v>
      </c>
      <c r="AH62" s="98">
        <f t="shared" si="53"/>
        <v>1.7423005560812399E-6</v>
      </c>
      <c r="AI62" s="98">
        <f t="shared" si="54"/>
        <v>1.5707963267948966</v>
      </c>
      <c r="AJ62" s="98" t="str">
        <f t="shared" si="39"/>
        <v>1+0.00175322168333882i</v>
      </c>
      <c r="AK62" s="98">
        <f t="shared" si="55"/>
        <v>1.0000015368919544</v>
      </c>
      <c r="AL62" s="98">
        <f t="shared" si="56"/>
        <v>1.7532198869992194E-3</v>
      </c>
      <c r="AM62" s="98" t="str">
        <f t="shared" si="40"/>
        <v>1+0.2595799398214i</v>
      </c>
      <c r="AN62" s="98">
        <f t="shared" si="57"/>
        <v>1.0331416868744003</v>
      </c>
      <c r="AO62" s="98">
        <f t="shared" si="58"/>
        <v>0.25397455618015352</v>
      </c>
      <c r="AP62" s="168" t="str">
        <f t="shared" si="59"/>
        <v>-9.96001117770847+38.6482210319374i</v>
      </c>
      <c r="AQ62" s="98">
        <f t="shared" si="60"/>
        <v>32.021849165124891</v>
      </c>
      <c r="AR62" s="169">
        <f t="shared" si="61"/>
        <v>104.45121807274759</v>
      </c>
      <c r="AS62" s="168" t="str">
        <f t="shared" si="62"/>
        <v>1302.02933897102+1672.07211550746i</v>
      </c>
      <c r="AT62" s="190">
        <f t="shared" si="63"/>
        <v>66.523532628453864</v>
      </c>
      <c r="AU62" s="169">
        <f t="shared" si="64"/>
        <v>52.092389970910709</v>
      </c>
      <c r="AV62" s="225"/>
      <c r="AX62">
        <f t="shared" si="65"/>
        <v>0</v>
      </c>
      <c r="AY62">
        <f t="shared" si="66"/>
        <v>0</v>
      </c>
    </row>
    <row r="63" spans="1:51" x14ac:dyDescent="0.25">
      <c r="A63" s="98" t="s">
        <v>268</v>
      </c>
      <c r="B63" s="211">
        <f>(CCOMP+CHF)</f>
        <v>1.0068E-8</v>
      </c>
      <c r="E63" s="98" t="s">
        <v>279</v>
      </c>
      <c r="N63" s="170">
        <v>45</v>
      </c>
      <c r="O63" s="199">
        <f t="shared" si="41"/>
        <v>28.183829312644548</v>
      </c>
      <c r="P63" s="189" t="str">
        <f t="shared" si="32"/>
        <v>87</v>
      </c>
      <c r="Q63" s="160" t="str">
        <f t="shared" si="33"/>
        <v>1+1.3281316667795i</v>
      </c>
      <c r="R63" s="160">
        <f t="shared" si="42"/>
        <v>1.662508262927584</v>
      </c>
      <c r="S63" s="160">
        <f t="shared" si="43"/>
        <v>0.92541793303703979</v>
      </c>
      <c r="T63" s="160" t="str">
        <f t="shared" si="34"/>
        <v>1+0.00088542111118633i</v>
      </c>
      <c r="U63" s="160">
        <f t="shared" si="44"/>
        <v>1.0000003919851952</v>
      </c>
      <c r="V63" s="160">
        <f t="shared" si="45"/>
        <v>8.8542087980508202E-4</v>
      </c>
      <c r="W63" s="98" t="str">
        <f t="shared" si="35"/>
        <v>1-0.000125434657418064i</v>
      </c>
      <c r="X63" s="160">
        <f t="shared" si="46"/>
        <v>1.0000000078669267</v>
      </c>
      <c r="Y63" s="160">
        <f t="shared" si="47"/>
        <v>-1.2543465676020718E-4</v>
      </c>
      <c r="Z63" s="98" t="str">
        <f t="shared" si="36"/>
        <v>0.999999994351444+0.000263501322689052i</v>
      </c>
      <c r="AA63" s="160">
        <f t="shared" si="48"/>
        <v>1.0000000290679172</v>
      </c>
      <c r="AB63" s="160">
        <f t="shared" si="49"/>
        <v>2.6350131807889631E-4</v>
      </c>
      <c r="AC63" s="171" t="str">
        <f t="shared" si="50"/>
        <v>31.4976398877634-41.7898187627823i</v>
      </c>
      <c r="AD63" s="190">
        <f t="shared" si="51"/>
        <v>34.375112023114461</v>
      </c>
      <c r="AE63" s="169">
        <f t="shared" si="52"/>
        <v>-52.994095359096015</v>
      </c>
      <c r="AF63" s="98" t="str">
        <f t="shared" si="37"/>
        <v>-0.0000673063927557778</v>
      </c>
      <c r="AG63" s="98" t="str">
        <f t="shared" si="38"/>
        <v>1.78288394948479E-06i</v>
      </c>
      <c r="AH63" s="98">
        <f t="shared" si="53"/>
        <v>1.78288394948479E-6</v>
      </c>
      <c r="AI63" s="98">
        <f t="shared" si="54"/>
        <v>1.5707963267948966</v>
      </c>
      <c r="AJ63" s="98" t="str">
        <f t="shared" si="39"/>
        <v>1+0.00179405946247528i</v>
      </c>
      <c r="AK63" s="98">
        <f t="shared" si="55"/>
        <v>1.0000016093233826</v>
      </c>
      <c r="AL63" s="98">
        <f t="shared" si="56"/>
        <v>1.7940575376628868E-3</v>
      </c>
      <c r="AM63" s="98" t="str">
        <f t="shared" si="40"/>
        <v>1+0.265626333355899i</v>
      </c>
      <c r="AN63" s="98">
        <f t="shared" si="57"/>
        <v>1.0346774129998679</v>
      </c>
      <c r="AO63" s="98">
        <f t="shared" si="58"/>
        <v>0.25963087488692471</v>
      </c>
      <c r="AP63" s="168" t="str">
        <f t="shared" si="59"/>
        <v>-9.96000973487519+37.7692843443808i</v>
      </c>
      <c r="AQ63" s="98">
        <f t="shared" si="60"/>
        <v>31.834750196583123</v>
      </c>
      <c r="AR63" s="169">
        <f t="shared" si="61"/>
        <v>104.77296143719816</v>
      </c>
      <c r="AS63" s="168" t="str">
        <f t="shared" si="62"/>
        <v>1264.65474764395+1605.87031879383i</v>
      </c>
      <c r="AT63" s="190">
        <f t="shared" si="63"/>
        <v>66.209862219697598</v>
      </c>
      <c r="AU63" s="169">
        <f t="shared" si="64"/>
        <v>51.778866078102148</v>
      </c>
      <c r="AV63" s="225"/>
      <c r="AX63">
        <f t="shared" si="65"/>
        <v>0</v>
      </c>
      <c r="AY63">
        <f t="shared" si="66"/>
        <v>0</v>
      </c>
    </row>
    <row r="64" spans="1:51" x14ac:dyDescent="0.25">
      <c r="A64" s="98" t="s">
        <v>269</v>
      </c>
      <c r="B64" s="211">
        <f>(CCOMP+CHF)/(RCOMP*CHF*CCOMP)</f>
        <v>98705.882352941175</v>
      </c>
      <c r="E64" s="98" t="s">
        <v>280</v>
      </c>
      <c r="N64" s="170">
        <v>46</v>
      </c>
      <c r="O64" s="199">
        <f t="shared" si="41"/>
        <v>28.840315031266066</v>
      </c>
      <c r="P64" s="189" t="str">
        <f t="shared" si="32"/>
        <v>87</v>
      </c>
      <c r="Q64" s="160" t="str">
        <f t="shared" si="33"/>
        <v>1+1.35906782744162i</v>
      </c>
      <c r="R64" s="160">
        <f t="shared" si="42"/>
        <v>1.6873249122759033</v>
      </c>
      <c r="S64" s="160">
        <f t="shared" si="43"/>
        <v>0.93644633754182915</v>
      </c>
      <c r="T64" s="160" t="str">
        <f t="shared" si="34"/>
        <v>1+0.00090604521829441i</v>
      </c>
      <c r="U64" s="160">
        <f t="shared" si="44"/>
        <v>1.0000004104588847</v>
      </c>
      <c r="V64" s="160">
        <f t="shared" si="45"/>
        <v>9.0604497036494145E-4</v>
      </c>
      <c r="W64" s="98" t="str">
        <f t="shared" si="35"/>
        <v>1-0.000128356405925042i</v>
      </c>
      <c r="X64" s="160">
        <f t="shared" si="46"/>
        <v>1.0000000082376834</v>
      </c>
      <c r="Y64" s="160">
        <f t="shared" si="47"/>
        <v>-1.283564052201357E-4</v>
      </c>
      <c r="Z64" s="98" t="str">
        <f t="shared" si="36"/>
        <v>0.999999994085235+0.000269639056964416i</v>
      </c>
      <c r="AA64" s="160">
        <f t="shared" si="48"/>
        <v>1.0000000304378451</v>
      </c>
      <c r="AB64" s="160">
        <f t="shared" si="49"/>
        <v>2.6963905202454544E-4</v>
      </c>
      <c r="AC64" s="171" t="str">
        <f t="shared" si="50"/>
        <v>30.578888361025-41.5145830474971i</v>
      </c>
      <c r="AD64" s="190">
        <f t="shared" si="51"/>
        <v>34.246414051897254</v>
      </c>
      <c r="AE64" s="169">
        <f t="shared" si="52"/>
        <v>-53.625313788744755</v>
      </c>
      <c r="AF64" s="98" t="str">
        <f t="shared" si="37"/>
        <v>-0.0000673063927557778</v>
      </c>
      <c r="AG64" s="98" t="str">
        <f t="shared" si="38"/>
        <v>1.82441265155762E-06i</v>
      </c>
      <c r="AH64" s="98">
        <f t="shared" si="53"/>
        <v>1.8244126515576201E-6</v>
      </c>
      <c r="AI64" s="98">
        <f t="shared" si="54"/>
        <v>1.5707963267948966</v>
      </c>
      <c r="AJ64" s="98" t="str">
        <f t="shared" si="39"/>
        <v>1+0.00183584847568593i</v>
      </c>
      <c r="AK64" s="98">
        <f t="shared" si="55"/>
        <v>1.0000016851683928</v>
      </c>
      <c r="AL64" s="98">
        <f t="shared" si="56"/>
        <v>1.8358464132124793E-3</v>
      </c>
      <c r="AM64" s="98" t="str">
        <f t="shared" si="40"/>
        <v>1+0.271813565488323i</v>
      </c>
      <c r="AN64" s="98">
        <f t="shared" si="57"/>
        <v>1.0362830763760811</v>
      </c>
      <c r="AO64" s="98">
        <f t="shared" si="58"/>
        <v>0.26540140147197749</v>
      </c>
      <c r="AP64" s="168" t="str">
        <f t="shared" si="59"/>
        <v>-9.96000822404368+36.910373431075i</v>
      </c>
      <c r="AQ64" s="98">
        <f t="shared" si="60"/>
        <v>31.648218281168784</v>
      </c>
      <c r="AR64" s="169">
        <f t="shared" si="61"/>
        <v>105.10119392989009</v>
      </c>
      <c r="AS64" s="168" t="str">
        <f t="shared" si="62"/>
        <v>1227.75278356057+1542.1637770834i</v>
      </c>
      <c r="AT64" s="190">
        <f t="shared" si="63"/>
        <v>65.894632333066042</v>
      </c>
      <c r="AU64" s="169">
        <f t="shared" si="64"/>
        <v>51.475880141145346</v>
      </c>
      <c r="AV64" s="225"/>
      <c r="AX64">
        <f t="shared" si="65"/>
        <v>0</v>
      </c>
      <c r="AY64">
        <f t="shared" si="66"/>
        <v>0</v>
      </c>
    </row>
    <row r="65" spans="1:51" x14ac:dyDescent="0.25">
      <c r="N65" s="170">
        <v>47</v>
      </c>
      <c r="O65" s="199">
        <f t="shared" si="41"/>
        <v>29.512092266663863</v>
      </c>
      <c r="P65" s="189" t="str">
        <f t="shared" si="32"/>
        <v>87</v>
      </c>
      <c r="Q65" s="160" t="str">
        <f t="shared" si="33"/>
        <v>1+1.39072458385524i</v>
      </c>
      <c r="R65" s="160">
        <f t="shared" si="42"/>
        <v>1.7129258209681264</v>
      </c>
      <c r="S65" s="160">
        <f t="shared" si="43"/>
        <v>0.9473994569844012</v>
      </c>
      <c r="T65" s="160" t="str">
        <f t="shared" si="34"/>
        <v>1+0.000927149722570155i</v>
      </c>
      <c r="U65" s="160">
        <f t="shared" si="44"/>
        <v>1.0000004298032117</v>
      </c>
      <c r="V65" s="160">
        <f t="shared" si="45"/>
        <v>9.2714945690894931E-4</v>
      </c>
      <c r="W65" s="98" t="str">
        <f t="shared" si="35"/>
        <v>1-0.000131346210697439i</v>
      </c>
      <c r="X65" s="160">
        <f t="shared" si="46"/>
        <v>1.0000000086259135</v>
      </c>
      <c r="Y65" s="160">
        <f t="shared" si="47"/>
        <v>-1.3134620994211831E-4</v>
      </c>
      <c r="Z65" s="98" t="str">
        <f t="shared" si="36"/>
        <v>0.999999993806481+0.000275919757436878i</v>
      </c>
      <c r="AA65" s="160">
        <f t="shared" si="48"/>
        <v>1.0000000318723368</v>
      </c>
      <c r="AB65" s="160">
        <f t="shared" si="49"/>
        <v>2.759197521437112E-4</v>
      </c>
      <c r="AC65" s="171" t="str">
        <f t="shared" si="50"/>
        <v>29.6726371776692-41.221236110401i</v>
      </c>
      <c r="AD65" s="190">
        <f t="shared" si="51"/>
        <v>34.115617462626304</v>
      </c>
      <c r="AE65" s="169">
        <f t="shared" si="52"/>
        <v>-54.252203268100395</v>
      </c>
      <c r="AF65" s="98" t="str">
        <f t="shared" si="37"/>
        <v>-0.0000673063927557778</v>
      </c>
      <c r="AG65" s="98" t="str">
        <f t="shared" si="38"/>
        <v>1.86690868136726E-06i</v>
      </c>
      <c r="AH65" s="98">
        <f t="shared" si="53"/>
        <v>1.8669086813672601E-6</v>
      </c>
      <c r="AI65" s="98">
        <f t="shared" si="54"/>
        <v>1.5707963267948966</v>
      </c>
      <c r="AJ65" s="98" t="str">
        <f t="shared" si="39"/>
        <v>1+0.00187861088005872i</v>
      </c>
      <c r="AK65" s="98">
        <f t="shared" si="55"/>
        <v>1.0000017645878625</v>
      </c>
      <c r="AL65" s="98">
        <f t="shared" si="56"/>
        <v>1.8786086700788118E-3</v>
      </c>
      <c r="AM65" s="98" t="str">
        <f t="shared" si="40"/>
        <v>1+0.278144916771046i</v>
      </c>
      <c r="AN65" s="98">
        <f t="shared" si="57"/>
        <v>1.0379617501264544</v>
      </c>
      <c r="AO65" s="98">
        <f t="shared" si="58"/>
        <v>0.27128765769682489</v>
      </c>
      <c r="AP65" s="168" t="str">
        <f t="shared" si="59"/>
        <v>-9.96000664200941+36.0710328860674i</v>
      </c>
      <c r="AQ65" s="98">
        <f t="shared" si="60"/>
        <v>31.462276469956741</v>
      </c>
      <c r="AR65" s="169">
        <f t="shared" si="61"/>
        <v>105.43600147186561</v>
      </c>
      <c r="AS65" s="168" t="str">
        <f t="shared" si="62"/>
        <v>1191.3528999671+1480.88645690348i</v>
      </c>
      <c r="AT65" s="190">
        <f t="shared" si="63"/>
        <v>65.577893932583024</v>
      </c>
      <c r="AU65" s="169">
        <f t="shared" si="64"/>
        <v>51.183798203765214</v>
      </c>
      <c r="AV65" s="225"/>
      <c r="AX65">
        <f t="shared" si="65"/>
        <v>0</v>
      </c>
      <c r="AY65">
        <f t="shared" si="66"/>
        <v>0</v>
      </c>
    </row>
    <row r="66" spans="1:51" x14ac:dyDescent="0.25">
      <c r="N66" s="170">
        <v>48</v>
      </c>
      <c r="O66" s="199">
        <f t="shared" si="41"/>
        <v>30.199517204020164</v>
      </c>
      <c r="P66" s="189" t="str">
        <f t="shared" si="32"/>
        <v>87</v>
      </c>
      <c r="Q66" s="160" t="str">
        <f t="shared" si="33"/>
        <v>1+1.42311872085163i</v>
      </c>
      <c r="R66" s="160">
        <f t="shared" si="42"/>
        <v>1.7393294379266913</v>
      </c>
      <c r="S66" s="160">
        <f t="shared" si="43"/>
        <v>0.95827258668344228</v>
      </c>
      <c r="T66" s="160" t="str">
        <f t="shared" si="34"/>
        <v>1+0.000948745813901085i</v>
      </c>
      <c r="U66" s="160">
        <f t="shared" si="44"/>
        <v>1.0000004500592083</v>
      </c>
      <c r="V66" s="160">
        <f t="shared" si="45"/>
        <v>9.4874552923998135E-4</v>
      </c>
      <c r="W66" s="98" t="str">
        <f t="shared" si="35"/>
        <v>1-0.000134405656969321i</v>
      </c>
      <c r="X66" s="160">
        <f t="shared" si="46"/>
        <v>1.0000000090324404</v>
      </c>
      <c r="Y66" s="160">
        <f t="shared" si="47"/>
        <v>-1.3440565615998028E-4</v>
      </c>
      <c r="Z66" s="98" t="str">
        <f t="shared" si="36"/>
        <v>0.99999999351459+0.000282346754216963i</v>
      </c>
      <c r="AA66" s="160">
        <f t="shared" si="48"/>
        <v>1.0000000333744343</v>
      </c>
      <c r="AB66" s="160">
        <f t="shared" si="49"/>
        <v>2.8234674854523252E-4</v>
      </c>
      <c r="AC66" s="171" t="str">
        <f t="shared" si="50"/>
        <v>28.7795736996956-40.9104666908111i</v>
      </c>
      <c r="AD66" s="190">
        <f t="shared" si="51"/>
        <v>33.982751802132221</v>
      </c>
      <c r="AE66" s="169">
        <f t="shared" si="52"/>
        <v>-54.874493879279811</v>
      </c>
      <c r="AF66" s="98" t="str">
        <f t="shared" si="37"/>
        <v>-0.0000673063927557778</v>
      </c>
      <c r="AG66" s="98" t="str">
        <f t="shared" si="38"/>
        <v>1.91039457087122E-06i</v>
      </c>
      <c r="AH66" s="98">
        <f t="shared" si="53"/>
        <v>1.9103945708712199E-6</v>
      </c>
      <c r="AI66" s="98">
        <f t="shared" si="54"/>
        <v>1.5707963267948966</v>
      </c>
      <c r="AJ66" s="98" t="str">
        <f t="shared" si="39"/>
        <v>1+0.00192236934878646i</v>
      </c>
      <c r="AK66" s="98">
        <f t="shared" si="55"/>
        <v>1.0000018477502495</v>
      </c>
      <c r="AL66" s="98">
        <f t="shared" si="56"/>
        <v>1.9223669807505602E-3</v>
      </c>
      <c r="AM66" s="98" t="str">
        <f t="shared" si="40"/>
        <v>1+0.284623744170325i</v>
      </c>
      <c r="AN66" s="98">
        <f t="shared" si="57"/>
        <v>1.039716632427093</v>
      </c>
      <c r="AO66" s="98">
        <f t="shared" si="58"/>
        <v>0.27729113230132635</v>
      </c>
      <c r="AP66" s="168" t="str">
        <f t="shared" si="59"/>
        <v>-9.96000498541668+35.2508176798723i</v>
      </c>
      <c r="AQ66" s="98">
        <f t="shared" si="60"/>
        <v>31.276948584130771</v>
      </c>
      <c r="AR66" s="169">
        <f t="shared" si="61"/>
        <v>105.77746806259741</v>
      </c>
      <c r="AS66" s="168" t="str">
        <f t="shared" si="62"/>
        <v>1155.48270498914+1421.97195758862i</v>
      </c>
      <c r="AT66" s="190">
        <f t="shared" si="63"/>
        <v>65.259700386263006</v>
      </c>
      <c r="AU66" s="169">
        <f t="shared" si="64"/>
        <v>50.902974183317518</v>
      </c>
      <c r="AV66" s="225"/>
      <c r="AX66">
        <f t="shared" si="65"/>
        <v>0</v>
      </c>
      <c r="AY66">
        <f t="shared" si="66"/>
        <v>0</v>
      </c>
    </row>
    <row r="67" spans="1:51" x14ac:dyDescent="0.25">
      <c r="N67" s="170">
        <v>49</v>
      </c>
      <c r="O67" s="199">
        <f t="shared" si="41"/>
        <v>30.902954325135919</v>
      </c>
      <c r="P67" s="189" t="str">
        <f t="shared" si="32"/>
        <v>87</v>
      </c>
      <c r="Q67" s="160" t="str">
        <f t="shared" si="33"/>
        <v>1+1.45626741423102i</v>
      </c>
      <c r="R67" s="160">
        <f t="shared" si="42"/>
        <v>1.7665544944187546</v>
      </c>
      <c r="S67" s="160">
        <f t="shared" si="43"/>
        <v>0.96906120808704388</v>
      </c>
      <c r="T67" s="160" t="str">
        <f t="shared" si="34"/>
        <v>1+0.00097084494282068i</v>
      </c>
      <c r="U67" s="160">
        <f t="shared" si="44"/>
        <v>1.0000004712698405</v>
      </c>
      <c r="V67" s="160">
        <f t="shared" si="45"/>
        <v>9.7084463780081976E-4</v>
      </c>
      <c r="W67" s="98" t="str">
        <f t="shared" si="35"/>
        <v>1-0.000137536366899597i</v>
      </c>
      <c r="X67" s="160">
        <f t="shared" si="46"/>
        <v>1.0000000094581261</v>
      </c>
      <c r="Y67" s="160">
        <f t="shared" si="47"/>
        <v>-1.3753636603237282E-4</v>
      </c>
      <c r="Z67" s="98" t="str">
        <f t="shared" si="36"/>
        <v>0.999999993208942+0.000288923454983434i</v>
      </c>
      <c r="AA67" s="160">
        <f t="shared" si="48"/>
        <v>1.0000000349473228</v>
      </c>
      <c r="AB67" s="160">
        <f t="shared" si="49"/>
        <v>2.8892344890606533E-4</v>
      </c>
      <c r="AC67" s="171" t="str">
        <f t="shared" si="50"/>
        <v>27.9003378993104-40.5829914304381i</v>
      </c>
      <c r="AD67" s="190">
        <f t="shared" si="51"/>
        <v>33.847848143749545</v>
      </c>
      <c r="AE67" s="169">
        <f t="shared" si="52"/>
        <v>-55.491926360455572</v>
      </c>
      <c r="AF67" s="98" t="str">
        <f t="shared" si="37"/>
        <v>-0.0000673063927557778</v>
      </c>
      <c r="AG67" s="98" t="str">
        <f t="shared" si="38"/>
        <v>1.95489337686372E-06i</v>
      </c>
      <c r="AH67" s="98">
        <f t="shared" si="53"/>
        <v>1.9548933768637202E-6</v>
      </c>
      <c r="AI67" s="98">
        <f t="shared" si="54"/>
        <v>1.5707963267948966</v>
      </c>
      <c r="AJ67" s="98" t="str">
        <f t="shared" si="39"/>
        <v>1+0.0019671470831885i</v>
      </c>
      <c r="AK67" s="98">
        <f t="shared" si="55"/>
        <v>1.0000019348319518</v>
      </c>
      <c r="AL67" s="98">
        <f t="shared" si="56"/>
        <v>1.9671445457925835E-3</v>
      </c>
      <c r="AM67" s="98" t="str">
        <f t="shared" si="40"/>
        <v>1+0.291253482846204i</v>
      </c>
      <c r="AN67" s="98">
        <f t="shared" si="57"/>
        <v>1.0415510507267725</v>
      </c>
      <c r="AO67" s="98">
        <f t="shared" si="58"/>
        <v>0.28341327672109118</v>
      </c>
      <c r="AP67" s="168" t="str">
        <f t="shared" si="59"/>
        <v>-9.96000325075177+34.4492929235105i</v>
      </c>
      <c r="AQ67" s="98">
        <f t="shared" si="60"/>
        <v>31.092259225852409</v>
      </c>
      <c r="AR67" s="169">
        <f t="shared" si="61"/>
        <v>106.1256755339258</v>
      </c>
      <c r="AS67" s="168" t="str">
        <f t="shared" si="62"/>
        <v>1120.16790332527+1365.35363953066i</v>
      </c>
      <c r="AT67" s="190">
        <f t="shared" si="63"/>
        <v>64.940107369601947</v>
      </c>
      <c r="AU67" s="169">
        <f t="shared" si="64"/>
        <v>50.633749173470321</v>
      </c>
      <c r="AV67" s="225"/>
      <c r="AX67">
        <f t="shared" si="65"/>
        <v>0</v>
      </c>
      <c r="AY67">
        <f t="shared" si="66"/>
        <v>0</v>
      </c>
    </row>
    <row r="68" spans="1:51" x14ac:dyDescent="0.25">
      <c r="A68" s="214" t="str">
        <f>"Crossover Frequency = "&amp;B68</f>
        <v>Crossover Frequency = 14.5 kHz</v>
      </c>
      <c r="B68" t="str">
        <f>ROUND(D68,1)&amp;" kHz"</f>
        <v>14.5 kHz</v>
      </c>
      <c r="C68" s="215"/>
      <c r="D68" s="216">
        <f>AY12</f>
        <v>14.454397707459291</v>
      </c>
      <c r="N68" s="170">
        <v>50</v>
      </c>
      <c r="O68" s="199">
        <f t="shared" si="41"/>
        <v>31.622776601683803</v>
      </c>
      <c r="P68" s="189" t="str">
        <f t="shared" si="32"/>
        <v>87</v>
      </c>
      <c r="Q68" s="160" t="str">
        <f t="shared" si="33"/>
        <v>1+1.49018823986942i</v>
      </c>
      <c r="R68" s="160">
        <f t="shared" si="42"/>
        <v>1.7946200127729324</v>
      </c>
      <c r="S68" s="160">
        <f t="shared" si="43"/>
        <v>0.97976099566489272</v>
      </c>
      <c r="T68" s="160" t="str">
        <f t="shared" si="34"/>
        <v>1+0.00099345882657961i</v>
      </c>
      <c r="U68" s="160">
        <f t="shared" si="44"/>
        <v>1.0000004934800983</v>
      </c>
      <c r="V68" s="160">
        <f t="shared" si="45"/>
        <v>9.9345849974494986E-4</v>
      </c>
      <c r="W68" s="98" t="str">
        <f t="shared" si="35"/>
        <v>1-0.000140740000432112i</v>
      </c>
      <c r="X68" s="160">
        <f t="shared" si="46"/>
        <v>1.0000000099038737</v>
      </c>
      <c r="Y68" s="160">
        <f t="shared" si="47"/>
        <v>-1.4073999950286456E-4</v>
      </c>
      <c r="Z68" s="98" t="str">
        <f t="shared" si="36"/>
        <v>0.999999992888889+0.000295653346790092i</v>
      </c>
      <c r="AA68" s="160">
        <f t="shared" si="48"/>
        <v>1.0000000365943391</v>
      </c>
      <c r="AB68" s="160">
        <f t="shared" si="49"/>
        <v>2.9565334027807421E-4</v>
      </c>
      <c r="AC68" s="171" t="str">
        <f t="shared" si="50"/>
        <v>27.0355212439545-40.2395511274479i</v>
      </c>
      <c r="AD68" s="190">
        <f t="shared" si="51"/>
        <v>33.710938976988487</v>
      </c>
      <c r="AE68" s="169">
        <f t="shared" si="52"/>
        <v>-56.104252500554054</v>
      </c>
      <c r="AF68" s="98" t="str">
        <f t="shared" si="37"/>
        <v>-0.0000673063927557778</v>
      </c>
      <c r="AG68" s="98" t="str">
        <f t="shared" si="38"/>
        <v>0.0000020004286932007i</v>
      </c>
      <c r="AH68" s="98">
        <f t="shared" si="53"/>
        <v>2.0004286932007E-6</v>
      </c>
      <c r="AI68" s="98">
        <f t="shared" si="54"/>
        <v>1.5707963267948966</v>
      </c>
      <c r="AJ68" s="98" t="str">
        <f t="shared" si="39"/>
        <v>1+0.00201296782501232i</v>
      </c>
      <c r="AK68" s="98">
        <f t="shared" si="55"/>
        <v>1.0000020260176798</v>
      </c>
      <c r="AL68" s="98">
        <f t="shared" si="56"/>
        <v>2.0129651061439073E-3</v>
      </c>
      <c r="AM68" s="98" t="str">
        <f t="shared" si="40"/>
        <v>1+0.298037647973883i</v>
      </c>
      <c r="AN68" s="98">
        <f t="shared" si="57"/>
        <v>1.0434684660351765</v>
      </c>
      <c r="AO68" s="98">
        <f t="shared" si="58"/>
        <v>0.28965550059205025</v>
      </c>
      <c r="AP68" s="168" t="str">
        <f t="shared" si="59"/>
        <v>-9.96000143433524+33.6660336379255i</v>
      </c>
      <c r="AQ68" s="98">
        <f t="shared" si="60"/>
        <v>30.908233787839592</v>
      </c>
      <c r="AR68" s="169">
        <f t="shared" si="61"/>
        <v>106.48070329178451</v>
      </c>
      <c r="AS68" s="168" t="str">
        <f t="shared" si="62"/>
        <v>1085.4322514639+1310.96475456421i</v>
      </c>
      <c r="AT68" s="190">
        <f t="shared" si="63"/>
        <v>64.619172764828093</v>
      </c>
      <c r="AU68" s="169">
        <f t="shared" si="64"/>
        <v>50.376450791230383</v>
      </c>
      <c r="AV68" s="225"/>
      <c r="AX68">
        <f t="shared" si="65"/>
        <v>0</v>
      </c>
      <c r="AY68">
        <f t="shared" si="66"/>
        <v>0</v>
      </c>
    </row>
    <row r="69" spans="1:51" x14ac:dyDescent="0.25">
      <c r="A69" s="214" t="str">
        <f>"Phase Margin = "&amp;B69</f>
        <v>Phase Margin = 60°</v>
      </c>
      <c r="B69" s="217" t="str">
        <f>ROUND(D69,0)&amp;"°"</f>
        <v>60°</v>
      </c>
      <c r="C69" s="218"/>
      <c r="D69" s="23">
        <f>AY14</f>
        <v>60.080562410244148</v>
      </c>
      <c r="N69" s="170">
        <v>51</v>
      </c>
      <c r="O69" s="199">
        <f t="shared" si="41"/>
        <v>32.359365692962832</v>
      </c>
      <c r="P69" s="189" t="str">
        <f t="shared" si="32"/>
        <v>87</v>
      </c>
      <c r="Q69" s="160" t="str">
        <f t="shared" si="33"/>
        <v>1+1.52489918303757i</v>
      </c>
      <c r="R69" s="160">
        <f t="shared" si="42"/>
        <v>1.8235453157047257</v>
      </c>
      <c r="S69" s="160">
        <f t="shared" si="43"/>
        <v>0.99036782280686342</v>
      </c>
      <c r="T69" s="160" t="str">
        <f t="shared" si="34"/>
        <v>1+0.00101659945535837i</v>
      </c>
      <c r="U69" s="160">
        <f t="shared" si="44"/>
        <v>1.0000005167370929</v>
      </c>
      <c r="V69" s="160">
        <f t="shared" si="45"/>
        <v>1.0165991051487319E-3</v>
      </c>
      <c r="W69" s="98" t="str">
        <f t="shared" si="35"/>
        <v>1-0.00014401825617577i</v>
      </c>
      <c r="X69" s="160">
        <f t="shared" si="46"/>
        <v>1.000000010370629</v>
      </c>
      <c r="Y69" s="160">
        <f t="shared" si="47"/>
        <v>-1.4401825518006343E-4</v>
      </c>
      <c r="Z69" s="98" t="str">
        <f t="shared" si="36"/>
        <v>0.999999992553752+0.000302539997914652i</v>
      </c>
      <c r="AA69" s="160">
        <f t="shared" si="48"/>
        <v>1.0000000383189764</v>
      </c>
      <c r="AB69" s="160">
        <f t="shared" si="49"/>
        <v>3.0253999093689943E-4</v>
      </c>
      <c r="AC69" s="171" t="str">
        <f t="shared" si="50"/>
        <v>26.1856659133571-39.8809069822823i</v>
      </c>
      <c r="AD69" s="190">
        <f t="shared" si="51"/>
        <v>33.572058095025604</v>
      </c>
      <c r="AE69" s="169">
        <f t="shared" si="52"/>
        <v>-56.711235477020878</v>
      </c>
      <c r="AF69" s="98" t="str">
        <f t="shared" si="37"/>
        <v>-0.0000673063927557778</v>
      </c>
      <c r="AG69" s="98" t="str">
        <f t="shared" si="38"/>
        <v>2.04702466330963E-06i</v>
      </c>
      <c r="AH69" s="98">
        <f t="shared" si="53"/>
        <v>2.0470246633096302E-6</v>
      </c>
      <c r="AI69" s="98">
        <f t="shared" si="54"/>
        <v>1.5707963267948966</v>
      </c>
      <c r="AJ69" s="98" t="str">
        <f t="shared" si="39"/>
        <v>1+0.00205985586902174i</v>
      </c>
      <c r="AK69" s="98">
        <f t="shared" si="55"/>
        <v>1.0000021215008501</v>
      </c>
      <c r="AL69" s="98">
        <f t="shared" si="56"/>
        <v>2.0598529557020817E-3</v>
      </c>
      <c r="AM69" s="98" t="str">
        <f t="shared" si="40"/>
        <v>1+0.304979836607512i</v>
      </c>
      <c r="AN69" s="98">
        <f t="shared" si="57"/>
        <v>1.0454724772738615</v>
      </c>
      <c r="AO69" s="98">
        <f t="shared" si="58"/>
        <v>0.29601916704146425</v>
      </c>
      <c r="AP69" s="168" t="str">
        <f t="shared" si="59"/>
        <v>-9.95999953231426+32.900624528653i</v>
      </c>
      <c r="AQ69" s="98">
        <f t="shared" si="60"/>
        <v>30.724898461498299</v>
      </c>
      <c r="AR69" s="169">
        <f t="shared" si="61"/>
        <v>106.84262804567479</v>
      </c>
      <c r="AS69" s="168" t="str">
        <f t="shared" si="62"/>
        <v>1051.29752623583+1258.73857713991i</v>
      </c>
      <c r="AT69" s="190">
        <f t="shared" si="63"/>
        <v>64.296956556523895</v>
      </c>
      <c r="AU69" s="169">
        <f t="shared" si="64"/>
        <v>50.131392568653958</v>
      </c>
      <c r="AV69" s="225"/>
      <c r="AX69">
        <f t="shared" si="65"/>
        <v>0</v>
      </c>
      <c r="AY69">
        <f t="shared" si="66"/>
        <v>0</v>
      </c>
    </row>
    <row r="70" spans="1:51" x14ac:dyDescent="0.25">
      <c r="N70" s="170">
        <v>52</v>
      </c>
      <c r="O70" s="199">
        <f t="shared" si="41"/>
        <v>33.113112148259127</v>
      </c>
      <c r="P70" s="189" t="str">
        <f t="shared" si="32"/>
        <v>87</v>
      </c>
      <c r="Q70" s="160" t="str">
        <f t="shared" si="33"/>
        <v>1+1.56041864793699i</v>
      </c>
      <c r="R70" s="160">
        <f t="shared" si="42"/>
        <v>1.8533500362396476</v>
      </c>
      <c r="S70" s="160">
        <f t="shared" si="43"/>
        <v>1.0008777667300814</v>
      </c>
      <c r="T70" s="160" t="str">
        <f t="shared" si="34"/>
        <v>1+0.00104027909862466i</v>
      </c>
      <c r="U70" s="160">
        <f t="shared" si="44"/>
        <v>1.0000005410901551</v>
      </c>
      <c r="V70" s="160">
        <f t="shared" si="45"/>
        <v>1.0402787233682828E-3</v>
      </c>
      <c r="W70" s="98" t="str">
        <f t="shared" si="35"/>
        <v>1-0.00014737287230516i</v>
      </c>
      <c r="X70" s="160">
        <f t="shared" si="46"/>
        <v>1.0000000108593816</v>
      </c>
      <c r="Y70" s="160">
        <f t="shared" si="47"/>
        <v>-1.4737287123824114E-4</v>
      </c>
      <c r="Z70" s="98" t="str">
        <f t="shared" si="36"/>
        <v>0.999999992202822+0.000309587059750699i</v>
      </c>
      <c r="AA70" s="160">
        <f t="shared" si="48"/>
        <v>1.000000040124895</v>
      </c>
      <c r="AB70" s="160">
        <f t="shared" si="49"/>
        <v>3.0958705227390217E-4</v>
      </c>
      <c r="AC70" s="171" t="str">
        <f t="shared" si="50"/>
        <v>25.3512643404858-39.5078368669901i</v>
      </c>
      <c r="AD70" s="190">
        <f t="shared" si="51"/>
        <v>33.431240480768111</v>
      </c>
      <c r="AE70" s="169">
        <f t="shared" si="52"/>
        <v>-57.312650136770586</v>
      </c>
      <c r="AF70" s="98" t="str">
        <f t="shared" si="37"/>
        <v>-0.0000673063927557778</v>
      </c>
      <c r="AG70" s="98" t="str">
        <f t="shared" si="38"/>
        <v>2.09470599299061E-06i</v>
      </c>
      <c r="AH70" s="98">
        <f t="shared" si="53"/>
        <v>2.0947059929906099E-6</v>
      </c>
      <c r="AI70" s="98">
        <f t="shared" si="54"/>
        <v>1.5707963267948966</v>
      </c>
      <c r="AJ70" s="98" t="str">
        <f t="shared" si="39"/>
        <v>1+0.00210783607587833i</v>
      </c>
      <c r="AK70" s="98">
        <f t="shared" si="55"/>
        <v>1.0000022214839939</v>
      </c>
      <c r="AL70" s="98">
        <f t="shared" si="56"/>
        <v>2.1078329542004483E-3</v>
      </c>
      <c r="AM70" s="98" t="str">
        <f t="shared" si="40"/>
        <v>1+0.312083729587398i</v>
      </c>
      <c r="AN70" s="98">
        <f t="shared" si="57"/>
        <v>1.0475668256837747</v>
      </c>
      <c r="AO70" s="98">
        <f t="shared" si="58"/>
        <v>0.30250558776579051</v>
      </c>
      <c r="AP70" s="168" t="str">
        <f t="shared" si="59"/>
        <v>-9.9599975406547+32.1526597656277i</v>
      </c>
      <c r="AQ70" s="98">
        <f t="shared" si="60"/>
        <v>30.542280243443443</v>
      </c>
      <c r="AR70" s="169">
        <f t="shared" si="61"/>
        <v>107.21152352590981</v>
      </c>
      <c r="AS70" s="168" t="str">
        <f t="shared" si="62"/>
        <v>1017.78350637653+1208.60853499994i</v>
      </c>
      <c r="AT70" s="190">
        <f t="shared" si="63"/>
        <v>63.973520724211568</v>
      </c>
      <c r="AU70" s="169">
        <f t="shared" si="64"/>
        <v>49.898873389139247</v>
      </c>
      <c r="AV70" s="225"/>
      <c r="AX70">
        <f t="shared" si="65"/>
        <v>0</v>
      </c>
      <c r="AY70">
        <f t="shared" si="66"/>
        <v>0</v>
      </c>
    </row>
    <row r="71" spans="1:51" x14ac:dyDescent="0.25">
      <c r="N71" s="170">
        <v>53</v>
      </c>
      <c r="O71" s="199">
        <f t="shared" si="41"/>
        <v>33.884415613920268</v>
      </c>
      <c r="P71" s="189" t="str">
        <f t="shared" si="32"/>
        <v>87</v>
      </c>
      <c r="Q71" s="160" t="str">
        <f t="shared" si="33"/>
        <v>1+1.59676546745813i</v>
      </c>
      <c r="R71" s="160">
        <f t="shared" si="42"/>
        <v>1.8840541282210499</v>
      </c>
      <c r="S71" s="160">
        <f t="shared" si="43"/>
        <v>1.0112871124046625</v>
      </c>
      <c r="T71" s="160" t="str">
        <f t="shared" si="34"/>
        <v>1+0.00106451031163875i</v>
      </c>
      <c r="U71" s="160">
        <f t="shared" si="44"/>
        <v>1.0000005665909413</v>
      </c>
      <c r="V71" s="160">
        <f t="shared" si="45"/>
        <v>1.0645099095443098E-3</v>
      </c>
      <c r="W71" s="98" t="str">
        <f t="shared" si="35"/>
        <v>1-0.000150805627482157i</v>
      </c>
      <c r="X71" s="160">
        <f t="shared" si="46"/>
        <v>1.0000000113711687</v>
      </c>
      <c r="Y71" s="160">
        <f t="shared" si="47"/>
        <v>-1.5080562633893287E-4</v>
      </c>
      <c r="Z71" s="98" t="str">
        <f t="shared" si="36"/>
        <v>0.999999991835352+0.000316798268743692i</v>
      </c>
      <c r="AA71" s="160">
        <f t="shared" si="48"/>
        <v>1.0000000420159227</v>
      </c>
      <c r="AB71" s="160">
        <f t="shared" si="49"/>
        <v>3.1679826073215995E-4</v>
      </c>
      <c r="AC71" s="171" t="str">
        <f t="shared" si="50"/>
        <v>24.5327590651051-39.1211316479269i</v>
      </c>
      <c r="AD71" s="190">
        <f t="shared" si="51"/>
        <v>33.288522192224555</v>
      </c>
      <c r="AE71" s="169">
        <f t="shared" si="52"/>
        <v>-57.908283220905695</v>
      </c>
      <c r="AF71" s="98" t="str">
        <f t="shared" si="37"/>
        <v>-0.0000673063927557778</v>
      </c>
      <c r="AG71" s="98" t="str">
        <f t="shared" si="38"/>
        <v>2.14349796351579E-06i</v>
      </c>
      <c r="AH71" s="98">
        <f t="shared" si="53"/>
        <v>2.1434979635157899E-6</v>
      </c>
      <c r="AI71" s="98">
        <f t="shared" si="54"/>
        <v>1.5707963267948966</v>
      </c>
      <c r="AJ71" s="98" t="str">
        <f t="shared" si="39"/>
        <v>1+0.00215693388532285i</v>
      </c>
      <c r="AK71" s="98">
        <f t="shared" si="55"/>
        <v>1.0000023261791873</v>
      </c>
      <c r="AL71" s="98">
        <f t="shared" si="56"/>
        <v>2.1569305403851551E-3</v>
      </c>
      <c r="AM71" s="98" t="str">
        <f t="shared" si="40"/>
        <v>1+0.319353093491625i</v>
      </c>
      <c r="AN71" s="98">
        <f t="shared" si="57"/>
        <v>1.0497553992824569</v>
      </c>
      <c r="AO71" s="98">
        <f t="shared" si="58"/>
        <v>0.30911601789711363</v>
      </c>
      <c r="AP71" s="168" t="str">
        <f t="shared" si="59"/>
        <v>-9.95999545513193+31.421742768005i</v>
      </c>
      <c r="AQ71" s="98">
        <f t="shared" si="60"/>
        <v>30.360406940235091</v>
      </c>
      <c r="AR71" s="169">
        <f t="shared" si="61"/>
        <v>107.58746018872814</v>
      </c>
      <c r="AS71" s="168" t="str">
        <f t="shared" si="62"/>
        <v>984.907966644125+1160.50833814614i</v>
      </c>
      <c r="AT71" s="190">
        <f t="shared" si="63"/>
        <v>63.648929132459628</v>
      </c>
      <c r="AU71" s="169">
        <f t="shared" si="64"/>
        <v>49.679176967822329</v>
      </c>
      <c r="AV71" s="225"/>
      <c r="AX71">
        <f t="shared" si="65"/>
        <v>0</v>
      </c>
      <c r="AY71">
        <f t="shared" si="66"/>
        <v>0</v>
      </c>
    </row>
    <row r="72" spans="1:51" x14ac:dyDescent="0.25">
      <c r="N72" s="170">
        <v>54</v>
      </c>
      <c r="O72" s="199">
        <f t="shared" si="41"/>
        <v>34.67368504525318</v>
      </c>
      <c r="P72" s="189" t="str">
        <f t="shared" si="32"/>
        <v>87</v>
      </c>
      <c r="Q72" s="160" t="str">
        <f t="shared" si="33"/>
        <v>1+1.63395891316581i</v>
      </c>
      <c r="R72" s="160">
        <f t="shared" si="42"/>
        <v>1.915677877388053</v>
      </c>
      <c r="S72" s="160">
        <f t="shared" si="43"/>
        <v>1.0215923555159732</v>
      </c>
      <c r="T72" s="160" t="str">
        <f t="shared" si="34"/>
        <v>1+0.00108930594211054i</v>
      </c>
      <c r="U72" s="160">
        <f t="shared" si="44"/>
        <v>1.0000005932935416</v>
      </c>
      <c r="V72" s="160">
        <f t="shared" si="45"/>
        <v>1.0893055112585987E-3</v>
      </c>
      <c r="W72" s="98" t="str">
        <f t="shared" si="35"/>
        <v>1-0.000154318341798993i</v>
      </c>
      <c r="X72" s="160">
        <f t="shared" si="46"/>
        <v>1.0000000119070753</v>
      </c>
      <c r="Y72" s="160">
        <f t="shared" si="47"/>
        <v>-1.5431834057400628E-4</v>
      </c>
      <c r="Z72" s="98" t="str">
        <f t="shared" si="36"/>
        <v>0.999999991450564+0.000324177448372095i</v>
      </c>
      <c r="AA72" s="160">
        <f t="shared" si="48"/>
        <v>1.0000000439960721</v>
      </c>
      <c r="AB72" s="160">
        <f t="shared" si="49"/>
        <v>3.2417743978758383E-4</v>
      </c>
      <c r="AC72" s="171" t="str">
        <f t="shared" si="50"/>
        <v>23.7305428858414-38.7215915894775i</v>
      </c>
      <c r="AD72" s="190">
        <f t="shared" si="51"/>
        <v>33.143940247885041</v>
      </c>
      <c r="AE72" s="169">
        <f t="shared" si="52"/>
        <v>-58.497933534227549</v>
      </c>
      <c r="AF72" s="98" t="str">
        <f t="shared" si="37"/>
        <v>-0.0000673063927557778</v>
      </c>
      <c r="AG72" s="98" t="str">
        <f t="shared" si="38"/>
        <v>2.19342644503378E-06i</v>
      </c>
      <c r="AH72" s="98">
        <f t="shared" si="53"/>
        <v>2.1934264450337798E-6</v>
      </c>
      <c r="AI72" s="98">
        <f t="shared" si="54"/>
        <v>1.5707963267948966</v>
      </c>
      <c r="AJ72" s="98" t="str">
        <f t="shared" si="39"/>
        <v>1+0.00220717532966378i</v>
      </c>
      <c r="AK72" s="98">
        <f t="shared" si="55"/>
        <v>1.0000024358085013</v>
      </c>
      <c r="AL72" s="98">
        <f t="shared" si="56"/>
        <v>2.2071717454989364E-3</v>
      </c>
      <c r="AM72" s="98" t="str">
        <f t="shared" si="40"/>
        <v>1+0.32679178263316i</v>
      </c>
      <c r="AN72" s="98">
        <f t="shared" si="57"/>
        <v>1.0520422373633858</v>
      </c>
      <c r="AO72" s="98">
        <f t="shared" si="58"/>
        <v>0.3158516506613166</v>
      </c>
      <c r="AP72" s="168" t="str">
        <f t="shared" si="59"/>
        <v>-9.95999327132237+30.7074859938897i</v>
      </c>
      <c r="AQ72" s="98">
        <f t="shared" si="60"/>
        <v>30.17930717115167</v>
      </c>
      <c r="AR72" s="169">
        <f t="shared" si="61"/>
        <v>107.97050490945627</v>
      </c>
      <c r="AS72" s="168" t="str">
        <f t="shared" si="62"/>
        <v>952.68668392719+1114.37210498046i</v>
      </c>
      <c r="AT72" s="190">
        <f t="shared" si="63"/>
        <v>63.323247419036697</v>
      </c>
      <c r="AU72" s="169">
        <f t="shared" si="64"/>
        <v>49.472571375228668</v>
      </c>
      <c r="AV72" s="225"/>
      <c r="AX72">
        <f t="shared" si="65"/>
        <v>0</v>
      </c>
      <c r="AY72">
        <f t="shared" si="66"/>
        <v>0</v>
      </c>
    </row>
    <row r="73" spans="1:51" x14ac:dyDescent="0.25">
      <c r="N73" s="170">
        <v>55</v>
      </c>
      <c r="O73" s="199">
        <f t="shared" si="41"/>
        <v>35.481338923357555</v>
      </c>
      <c r="P73" s="189" t="str">
        <f t="shared" si="32"/>
        <v>87</v>
      </c>
      <c r="Q73" s="160" t="str">
        <f t="shared" si="33"/>
        <v>1+1.67201870551725i</v>
      </c>
      <c r="R73" s="160">
        <f t="shared" si="42"/>
        <v>1.9482419130076172</v>
      </c>
      <c r="S73" s="160">
        <f t="shared" si="43"/>
        <v>1.0317902044882639</v>
      </c>
      <c r="T73" s="160" t="str">
        <f t="shared" si="34"/>
        <v>1+0.00111467913701149i</v>
      </c>
      <c r="U73" s="160">
        <f t="shared" si="44"/>
        <v>1.0000006212545962</v>
      </c>
      <c r="V73" s="160">
        <f t="shared" si="45"/>
        <v>1.1146786753453326E-3</v>
      </c>
      <c r="W73" s="98" t="str">
        <f t="shared" si="35"/>
        <v>1-0.000157912877743295i</v>
      </c>
      <c r="X73" s="160">
        <f t="shared" si="46"/>
        <v>1.0000000124682384</v>
      </c>
      <c r="Y73" s="160">
        <f t="shared" si="47"/>
        <v>-1.5791287643069808E-4</v>
      </c>
      <c r="Z73" s="98" t="str">
        <f t="shared" si="36"/>
        <v>0.999999991047641+0.000331728511174621i</v>
      </c>
      <c r="AA73" s="160">
        <f t="shared" si="48"/>
        <v>1.0000000460695426</v>
      </c>
      <c r="AB73" s="160">
        <f t="shared" si="49"/>
        <v>3.3172850197615172E-4</v>
      </c>
      <c r="AC73" s="171" t="str">
        <f t="shared" si="50"/>
        <v>22.9449592942085-38.3100228639999i</v>
      </c>
      <c r="AD73" s="190">
        <f t="shared" si="51"/>
        <v>32.997532512778577</v>
      </c>
      <c r="AE73" s="169">
        <f t="shared" si="52"/>
        <v>-59.081412060964809</v>
      </c>
      <c r="AF73" s="98" t="str">
        <f t="shared" si="37"/>
        <v>-0.0000673063927557778</v>
      </c>
      <c r="AG73" s="98" t="str">
        <f t="shared" si="38"/>
        <v>2.24451791028635E-06i</v>
      </c>
      <c r="AH73" s="98">
        <f t="shared" si="53"/>
        <v>2.2445179102863499E-6</v>
      </c>
      <c r="AI73" s="98">
        <f t="shared" si="54"/>
        <v>1.5707963267948966</v>
      </c>
      <c r="AJ73" s="98" t="str">
        <f t="shared" si="39"/>
        <v>1+0.00225858704757991i</v>
      </c>
      <c r="AK73" s="98">
        <f t="shared" si="55"/>
        <v>1.000002550604473</v>
      </c>
      <c r="AL73" s="98">
        <f t="shared" si="56"/>
        <v>2.2585832070786162E-3</v>
      </c>
      <c r="AM73" s="98" t="str">
        <f t="shared" si="40"/>
        <v>1+0.334403741103448i</v>
      </c>
      <c r="AN73" s="98">
        <f t="shared" si="57"/>
        <v>1.0544315350291749</v>
      </c>
      <c r="AO73" s="98">
        <f t="shared" si="58"/>
        <v>0.32271361183266217</v>
      </c>
      <c r="AP73" s="168" t="str">
        <f t="shared" si="59"/>
        <v>-9.95999098459414+30.0095107348556i</v>
      </c>
      <c r="AQ73" s="98">
        <f t="shared" si="60"/>
        <v>29.999010368812392</v>
      </c>
      <c r="AR73" s="169">
        <f t="shared" si="61"/>
        <v>108.36072066398991</v>
      </c>
      <c r="AS73" s="168" t="str">
        <f t="shared" si="62"/>
        <v>921.133454677572+1070.13448459541i</v>
      </c>
      <c r="AT73" s="190">
        <f t="shared" si="63"/>
        <v>62.996542881590969</v>
      </c>
      <c r="AU73" s="169">
        <f t="shared" si="64"/>
        <v>49.279308603025143</v>
      </c>
      <c r="AV73" s="225"/>
      <c r="AX73">
        <f t="shared" si="65"/>
        <v>0</v>
      </c>
      <c r="AY73">
        <f t="shared" si="66"/>
        <v>0</v>
      </c>
    </row>
    <row r="74" spans="1:51" x14ac:dyDescent="0.25">
      <c r="N74" s="170">
        <v>56</v>
      </c>
      <c r="O74" s="199">
        <f t="shared" si="41"/>
        <v>36.307805477010156</v>
      </c>
      <c r="P74" s="189" t="str">
        <f t="shared" si="32"/>
        <v>87</v>
      </c>
      <c r="Q74" s="160" t="str">
        <f t="shared" si="33"/>
        <v>1+1.71096502431814i</v>
      </c>
      <c r="R74" s="160">
        <f t="shared" si="42"/>
        <v>1.9817672200437602</v>
      </c>
      <c r="S74" s="160">
        <f t="shared" si="43"/>
        <v>1.0418775816008476</v>
      </c>
      <c r="T74" s="160" t="str">
        <f t="shared" si="34"/>
        <v>1+0.00114064334954542i</v>
      </c>
      <c r="U74" s="160">
        <f t="shared" si="44"/>
        <v>1.0000006505334138</v>
      </c>
      <c r="V74" s="160">
        <f t="shared" si="45"/>
        <v>1.140642854861237E-3</v>
      </c>
      <c r="W74" s="98" t="str">
        <f t="shared" si="35"/>
        <v>1-0.000161591141185602i</v>
      </c>
      <c r="X74" s="160">
        <f t="shared" si="46"/>
        <v>1.0000000130558484</v>
      </c>
      <c r="Y74" s="160">
        <f t="shared" si="47"/>
        <v>-1.6159113977912905E-4</v>
      </c>
      <c r="Z74" s="98" t="str">
        <f t="shared" si="36"/>
        <v>0.99999999062573+0.000339455460824719i</v>
      </c>
      <c r="AA74" s="160">
        <f t="shared" si="48"/>
        <v>1.0000000482407339</v>
      </c>
      <c r="AB74" s="160">
        <f t="shared" si="49"/>
        <v>3.3945545096838135E-4</v>
      </c>
      <c r="AC74" s="171" t="str">
        <f t="shared" si="50"/>
        <v>22.1763031720036-37.8872341905486i</v>
      </c>
      <c r="AD74" s="190">
        <f t="shared" si="51"/>
        <v>32.849337585835343</v>
      </c>
      <c r="AE74" s="169">
        <f t="shared" si="52"/>
        <v>-59.658542028499539</v>
      </c>
      <c r="AF74" s="98" t="str">
        <f t="shared" si="37"/>
        <v>-0.0000673063927557778</v>
      </c>
      <c r="AG74" s="98" t="str">
        <f t="shared" si="38"/>
        <v>2.29679944864466E-06i</v>
      </c>
      <c r="AH74" s="98">
        <f t="shared" si="53"/>
        <v>2.2967994486446601E-6</v>
      </c>
      <c r="AI74" s="98">
        <f t="shared" si="54"/>
        <v>1.5707963267948966</v>
      </c>
      <c r="AJ74" s="98" t="str">
        <f t="shared" si="39"/>
        <v>1+0.0023111962982446i</v>
      </c>
      <c r="AK74" s="98">
        <f t="shared" si="55"/>
        <v>1.0000026708105978</v>
      </c>
      <c r="AL74" s="98">
        <f t="shared" si="56"/>
        <v>2.3111921830739155E-3</v>
      </c>
      <c r="AM74" s="98" t="str">
        <f t="shared" si="40"/>
        <v>1+0.342193004863627i</v>
      </c>
      <c r="AN74" s="98">
        <f t="shared" si="57"/>
        <v>1.0569276477496454</v>
      </c>
      <c r="AO74" s="98">
        <f t="shared" si="58"/>
        <v>0.32970295399127136</v>
      </c>
      <c r="AP74" s="168" t="str">
        <f t="shared" si="59"/>
        <v>-9.95998859009686+29.327446915149i</v>
      </c>
      <c r="AQ74" s="98">
        <f t="shared" si="60"/>
        <v>29.819546777456448</v>
      </c>
      <c r="AR74" s="169">
        <f t="shared" si="61"/>
        <v>108.758166198962</v>
      </c>
      <c r="AS74" s="168" t="str">
        <f t="shared" si="62"/>
        <v>890.260122921448+1027.73077429938i</v>
      </c>
      <c r="AT74" s="190">
        <f t="shared" si="63"/>
        <v>62.668884363291809</v>
      </c>
      <c r="AU74" s="169">
        <f t="shared" si="64"/>
        <v>49.099624170462519</v>
      </c>
      <c r="AV74" s="225"/>
      <c r="AX74">
        <f t="shared" si="65"/>
        <v>0</v>
      </c>
      <c r="AY74">
        <f t="shared" si="66"/>
        <v>0</v>
      </c>
    </row>
    <row r="75" spans="1:51" x14ac:dyDescent="0.25">
      <c r="N75" s="170">
        <v>57</v>
      </c>
      <c r="O75" s="199">
        <f t="shared" si="41"/>
        <v>37.15352290971726</v>
      </c>
      <c r="P75" s="189" t="str">
        <f t="shared" si="32"/>
        <v>87</v>
      </c>
      <c r="Q75" s="160" t="str">
        <f t="shared" si="33"/>
        <v>1+1.75081851942222i</v>
      </c>
      <c r="R75" s="160">
        <f t="shared" si="42"/>
        <v>2.0162751518460507</v>
      </c>
      <c r="S75" s="160">
        <f t="shared" si="43"/>
        <v>1.0518516232335862</v>
      </c>
      <c r="T75" s="160" t="str">
        <f t="shared" si="34"/>
        <v>1+0.00116721234628148i</v>
      </c>
      <c r="U75" s="160">
        <f t="shared" si="44"/>
        <v>1.0000006811920987</v>
      </c>
      <c r="V75" s="160">
        <f t="shared" si="45"/>
        <v>1.1672118162178477E-3</v>
      </c>
      <c r="W75" s="98" t="str">
        <f t="shared" si="35"/>
        <v>1-0.000165355082389877i</v>
      </c>
      <c r="X75" s="160">
        <f t="shared" si="46"/>
        <v>1.0000000136711515</v>
      </c>
      <c r="Y75" s="160">
        <f t="shared" si="47"/>
        <v>-1.6535508088281407E-4</v>
      </c>
      <c r="Z75" s="98" t="str">
        <f t="shared" si="36"/>
        <v>0.999999990183934+0.000347362394253368i</v>
      </c>
      <c r="AA75" s="160">
        <f t="shared" si="48"/>
        <v>1.0000000505142492</v>
      </c>
      <c r="AB75" s="160">
        <f t="shared" si="49"/>
        <v>3.4736238369211203E-4</v>
      </c>
      <c r="AC75" s="171" t="str">
        <f t="shared" si="50"/>
        <v>21.4248217318159-37.4540336221654i</v>
      </c>
      <c r="AD75" s="190">
        <f t="shared" si="51"/>
        <v>32.699394689136454</v>
      </c>
      <c r="AE75" s="169">
        <f t="shared" si="52"/>
        <v>-60.229158921205041</v>
      </c>
      <c r="AF75" s="98" t="str">
        <f t="shared" si="37"/>
        <v>-0.0000673063927557778</v>
      </c>
      <c r="AG75" s="98" t="str">
        <f t="shared" si="38"/>
        <v>2.35029878047238E-06i</v>
      </c>
      <c r="AH75" s="98">
        <f t="shared" si="53"/>
        <v>2.3502987804723801E-6</v>
      </c>
      <c r="AI75" s="98">
        <f t="shared" si="54"/>
        <v>1.5707963267948966</v>
      </c>
      <c r="AJ75" s="98" t="str">
        <f t="shared" si="39"/>
        <v>1+0.00236503097577892i</v>
      </c>
      <c r="AK75" s="98">
        <f t="shared" si="55"/>
        <v>1.0000027966818474</v>
      </c>
      <c r="AL75" s="98">
        <f t="shared" si="56"/>
        <v>2.3650265662947534E-3</v>
      </c>
      <c r="AM75" s="98" t="str">
        <f t="shared" si="40"/>
        <v>1+0.350163703884444i</v>
      </c>
      <c r="AN75" s="98">
        <f t="shared" si="57"/>
        <v>1.0595350959350391</v>
      </c>
      <c r="AO75" s="98">
        <f t="shared" si="58"/>
        <v>0.336820650591793</v>
      </c>
      <c r="AP75" s="168" t="str">
        <f t="shared" si="59"/>
        <v>-9.95998608275167+28.6609328954697i</v>
      </c>
      <c r="AQ75" s="98">
        <f t="shared" si="60"/>
        <v>29.640947448681082</v>
      </c>
      <c r="AR75" s="169">
        <f t="shared" si="61"/>
        <v>109.16289569107532</v>
      </c>
      <c r="AS75" s="168" t="str">
        <f t="shared" si="62"/>
        <v>860.076618035227+987.097031572657i</v>
      </c>
      <c r="AT75" s="190">
        <f t="shared" si="63"/>
        <v>62.340342137817537</v>
      </c>
      <c r="AU75" s="169">
        <f t="shared" si="64"/>
        <v>48.933736769870272</v>
      </c>
      <c r="AV75" s="225"/>
      <c r="AX75">
        <f t="shared" si="65"/>
        <v>0</v>
      </c>
      <c r="AY75">
        <f t="shared" si="66"/>
        <v>0</v>
      </c>
    </row>
    <row r="76" spans="1:51" x14ac:dyDescent="0.25">
      <c r="N76" s="170">
        <v>58</v>
      </c>
      <c r="O76" s="199">
        <f t="shared" si="41"/>
        <v>38.018939632056139</v>
      </c>
      <c r="P76" s="189" t="str">
        <f t="shared" si="32"/>
        <v>87</v>
      </c>
      <c r="Q76" s="160" t="str">
        <f t="shared" si="33"/>
        <v>1+1.79160032168013i</v>
      </c>
      <c r="R76" s="160">
        <f t="shared" si="42"/>
        <v>2.0517874433391841</v>
      </c>
      <c r="S76" s="160">
        <f t="shared" si="43"/>
        <v>1.061709679283344</v>
      </c>
      <c r="T76" s="160" t="str">
        <f t="shared" si="34"/>
        <v>1+0.00119440021445342i</v>
      </c>
      <c r="U76" s="160">
        <f t="shared" si="44"/>
        <v>1.0000007132956816</v>
      </c>
      <c r="V76" s="160">
        <f t="shared" si="45"/>
        <v>1.1943996464800269E-3</v>
      </c>
      <c r="W76" s="98" t="str">
        <f t="shared" si="35"/>
        <v>1-0.000169206697047567i</v>
      </c>
      <c r="X76" s="160">
        <f t="shared" si="46"/>
        <v>1.000000014315453</v>
      </c>
      <c r="Y76" s="160">
        <f t="shared" si="47"/>
        <v>-1.6920669543271999E-4</v>
      </c>
      <c r="Z76" s="98" t="str">
        <f t="shared" si="36"/>
        <v>0.999999989721317+0.000355453503821336i</v>
      </c>
      <c r="AA76" s="160">
        <f t="shared" si="48"/>
        <v>1.0000000528949125</v>
      </c>
      <c r="AB76" s="160">
        <f t="shared" si="49"/>
        <v>3.5545349250474639E-4</v>
      </c>
      <c r="AC76" s="171" t="str">
        <f t="shared" si="50"/>
        <v>20.6907156791317-37.0112254986733i</v>
      </c>
      <c r="AD76" s="190">
        <f t="shared" si="51"/>
        <v>32.547743559585221</v>
      </c>
      <c r="AE76" s="169">
        <f t="shared" si="52"/>
        <v>-60.793110446775941</v>
      </c>
      <c r="AF76" s="98" t="str">
        <f t="shared" si="37"/>
        <v>-0.0000673063927557778</v>
      </c>
      <c r="AG76" s="98" t="str">
        <f t="shared" si="38"/>
        <v>2.40504427182339E-06i</v>
      </c>
      <c r="AH76" s="98">
        <f t="shared" si="53"/>
        <v>2.4050442718233902E-6</v>
      </c>
      <c r="AI76" s="98">
        <f t="shared" si="54"/>
        <v>1.5707963267948966</v>
      </c>
      <c r="AJ76" s="98" t="str">
        <f t="shared" si="39"/>
        <v>1+0.00242011962404148i</v>
      </c>
      <c r="AK76" s="98">
        <f t="shared" si="55"/>
        <v>1.0000029284852094</v>
      </c>
      <c r="AL76" s="98">
        <f t="shared" si="56"/>
        <v>2.4201148991948164E-3</v>
      </c>
      <c r="AM76" s="98" t="str">
        <f t="shared" si="40"/>
        <v>1+0.358320064336024i</v>
      </c>
      <c r="AN76" s="98">
        <f t="shared" si="57"/>
        <v>1.0622585695139259</v>
      </c>
      <c r="AO76" s="98">
        <f t="shared" si="58"/>
        <v>0.34406758985362507</v>
      </c>
      <c r="AP76" s="168" t="str">
        <f t="shared" si="59"/>
        <v>-9.95998345724021+28.0096152812248i</v>
      </c>
      <c r="AQ76" s="98">
        <f t="shared" si="60"/>
        <v>29.463244234436033</v>
      </c>
      <c r="AR76" s="169">
        <f t="shared" si="61"/>
        <v>109.57495839619034</v>
      </c>
      <c r="AS76" s="168" t="str">
        <f t="shared" si="62"/>
        <v>830.591001421884+948.170179764658i</v>
      </c>
      <c r="AT76" s="190">
        <f t="shared" si="63"/>
        <v>62.010987794021261</v>
      </c>
      <c r="AU76" s="169">
        <f t="shared" si="64"/>
        <v>48.781847949414399</v>
      </c>
      <c r="AV76" s="225"/>
      <c r="AX76">
        <f t="shared" si="65"/>
        <v>0</v>
      </c>
      <c r="AY76">
        <f t="shared" si="66"/>
        <v>0</v>
      </c>
    </row>
    <row r="77" spans="1:51" x14ac:dyDescent="0.25">
      <c r="N77" s="170">
        <v>59</v>
      </c>
      <c r="O77" s="199">
        <f t="shared" si="41"/>
        <v>38.904514499428053</v>
      </c>
      <c r="P77" s="189" t="str">
        <f t="shared" si="32"/>
        <v>87</v>
      </c>
      <c r="Q77" s="160" t="str">
        <f t="shared" si="33"/>
        <v>1+1.83333205414322i</v>
      </c>
      <c r="R77" s="160">
        <f t="shared" si="42"/>
        <v>2.0883262246950305</v>
      </c>
      <c r="S77" s="160">
        <f t="shared" si="43"/>
        <v>1.0714493117971307</v>
      </c>
      <c r="T77" s="160" t="str">
        <f t="shared" si="34"/>
        <v>1+0.00122222136942881i</v>
      </c>
      <c r="U77" s="160">
        <f t="shared" si="44"/>
        <v>1.0000007469122589</v>
      </c>
      <c r="V77" s="160">
        <f t="shared" si="45"/>
        <v>1.2222207608343788E-3</v>
      </c>
      <c r="W77" s="98" t="str">
        <f t="shared" si="35"/>
        <v>1-0.000173148027335748i</v>
      </c>
      <c r="X77" s="160">
        <f t="shared" si="46"/>
        <v>1.0000000149901196</v>
      </c>
      <c r="Y77" s="160">
        <f t="shared" si="47"/>
        <v>-1.7314802560540826E-4</v>
      </c>
      <c r="Z77" s="98" t="str">
        <f t="shared" si="36"/>
        <v>0.999999989236898+0.000363733079542014i</v>
      </c>
      <c r="AA77" s="160">
        <f t="shared" si="48"/>
        <v>1.0000000553877733</v>
      </c>
      <c r="AB77" s="160">
        <f t="shared" si="49"/>
        <v>3.6373306741606962E-4</v>
      </c>
      <c r="AC77" s="171" t="str">
        <f t="shared" si="50"/>
        <v>19.9741405736385-36.5596075790562i</v>
      </c>
      <c r="AD77" s="190">
        <f t="shared" si="51"/>
        <v>32.39442434348522</v>
      </c>
      <c r="AE77" s="169">
        <f t="shared" si="52"/>
        <v>-61.350256457673559</v>
      </c>
      <c r="AF77" s="98" t="str">
        <f t="shared" si="37"/>
        <v>-0.0000673063927557778</v>
      </c>
      <c r="AG77" s="98" t="str">
        <f t="shared" si="38"/>
        <v>2.46106494948185E-06i</v>
      </c>
      <c r="AH77" s="98">
        <f t="shared" si="53"/>
        <v>2.4610649494818502E-6</v>
      </c>
      <c r="AI77" s="98">
        <f t="shared" si="54"/>
        <v>1.5707963267948966</v>
      </c>
      <c r="AJ77" s="98" t="str">
        <f t="shared" si="39"/>
        <v>1+0.00247649145176278i</v>
      </c>
      <c r="AK77" s="98">
        <f t="shared" si="55"/>
        <v>1.0000030665002535</v>
      </c>
      <c r="AL77" s="98">
        <f t="shared" si="56"/>
        <v>2.4764863889992039E-3</v>
      </c>
      <c r="AM77" s="98" t="str">
        <f t="shared" si="40"/>
        <v>1+0.366666410828643i</v>
      </c>
      <c r="AN77" s="98">
        <f t="shared" si="57"/>
        <v>1.0651029325046286</v>
      </c>
      <c r="AO77" s="98">
        <f t="shared" si="58"/>
        <v>0.35144456848519678</v>
      </c>
      <c r="AP77" s="168" t="str">
        <f t="shared" si="59"/>
        <v>-9.95998070799368+27.3731487351538i</v>
      </c>
      <c r="AQ77" s="98">
        <f t="shared" si="60"/>
        <v>29.286469777069257</v>
      </c>
      <c r="AR77" s="169">
        <f t="shared" si="61"/>
        <v>109.99439828888696</v>
      </c>
      <c r="AS77" s="168" t="str">
        <f t="shared" si="62"/>
        <v>801.809521188168+910.888106958296i</v>
      </c>
      <c r="AT77" s="190">
        <f t="shared" si="63"/>
        <v>61.680894120554477</v>
      </c>
      <c r="AU77" s="169">
        <f t="shared" si="64"/>
        <v>48.644141831213418</v>
      </c>
      <c r="AV77" s="225"/>
      <c r="AX77">
        <f t="shared" si="65"/>
        <v>0</v>
      </c>
      <c r="AY77">
        <f t="shared" si="66"/>
        <v>0</v>
      </c>
    </row>
    <row r="78" spans="1:51" x14ac:dyDescent="0.25">
      <c r="N78" s="170">
        <v>60</v>
      </c>
      <c r="O78" s="199">
        <f t="shared" si="41"/>
        <v>39.810717055349755</v>
      </c>
      <c r="P78" s="189" t="str">
        <f t="shared" si="32"/>
        <v>87</v>
      </c>
      <c r="Q78" s="160" t="str">
        <f t="shared" si="33"/>
        <v>1+1.87603584352843i</v>
      </c>
      <c r="R78" s="160">
        <f t="shared" si="42"/>
        <v>2.1259140354688446</v>
      </c>
      <c r="S78" s="160">
        <f t="shared" si="43"/>
        <v>1.0810682928710664</v>
      </c>
      <c r="T78" s="160" t="str">
        <f t="shared" si="34"/>
        <v>1+0.00125069056235229i</v>
      </c>
      <c r="U78" s="160">
        <f t="shared" si="44"/>
        <v>1.0000007821131356</v>
      </c>
      <c r="V78" s="160">
        <f t="shared" si="45"/>
        <v>1.2506899102316354E-3</v>
      </c>
      <c r="W78" s="98" t="str">
        <f t="shared" si="35"/>
        <v>1-0.000177181162999907i</v>
      </c>
      <c r="X78" s="160">
        <f t="shared" si="46"/>
        <v>1.000000015696582</v>
      </c>
      <c r="Y78" s="160">
        <f t="shared" si="47"/>
        <v>-1.7718116114581457E-4</v>
      </c>
      <c r="Z78" s="98" t="str">
        <f t="shared" si="36"/>
        <v>0.999999988729648+0.00037220551135604i</v>
      </c>
      <c r="AA78" s="160">
        <f t="shared" si="48"/>
        <v>1.0000000579981176</v>
      </c>
      <c r="AB78" s="160">
        <f t="shared" si="49"/>
        <v>3.7220549836285681E-4</v>
      </c>
      <c r="AC78" s="171" t="str">
        <f t="shared" si="50"/>
        <v>19.275208366807-36.099968364659i</v>
      </c>
      <c r="AD78" s="190">
        <f t="shared" si="51"/>
        <v>32.239477494455166</v>
      </c>
      <c r="AE78" s="169">
        <f t="shared" si="52"/>
        <v>-61.900468830499669</v>
      </c>
      <c r="AF78" s="98" t="str">
        <f t="shared" si="37"/>
        <v>-0.0000673063927557778</v>
      </c>
      <c r="AG78" s="98" t="str">
        <f t="shared" si="38"/>
        <v>2.51839051635256E-06i</v>
      </c>
      <c r="AH78" s="98">
        <f t="shared" si="53"/>
        <v>2.5183905163525599E-6</v>
      </c>
      <c r="AI78" s="98">
        <f t="shared" si="54"/>
        <v>1.5707963267948966</v>
      </c>
      <c r="AJ78" s="98" t="str">
        <f t="shared" si="39"/>
        <v>1+0.00253417634803204i</v>
      </c>
      <c r="AK78" s="98">
        <f t="shared" si="55"/>
        <v>1.0000032110197261</v>
      </c>
      <c r="AL78" s="98">
        <f t="shared" si="56"/>
        <v>2.5341709231840718E-3</v>
      </c>
      <c r="AM78" s="98" t="str">
        <f t="shared" si="40"/>
        <v>1+0.375207168705685i</v>
      </c>
      <c r="AN78" s="98">
        <f t="shared" si="57"/>
        <v>1.0680732275682863</v>
      </c>
      <c r="AO78" s="98">
        <f t="shared" si="58"/>
        <v>0.35895228525714018</v>
      </c>
      <c r="AP78" s="168" t="str">
        <f t="shared" si="59"/>
        <v>-9.9599778291808+26.751195794227i</v>
      </c>
      <c r="AQ78" s="98">
        <f t="shared" si="60"/>
        <v>29.110657496217449</v>
      </c>
      <c r="AR78" s="169">
        <f t="shared" si="61"/>
        <v>110.42125369334691</v>
      </c>
      <c r="AS78" s="168" t="str">
        <f t="shared" si="62"/>
        <v>773.736673902156+875.189757541108i</v>
      </c>
      <c r="AT78" s="190">
        <f t="shared" si="63"/>
        <v>61.350134990672615</v>
      </c>
      <c r="AU78" s="169">
        <f t="shared" si="64"/>
        <v>48.520784862847215</v>
      </c>
      <c r="AV78" s="225"/>
      <c r="AX78">
        <f t="shared" si="65"/>
        <v>0</v>
      </c>
      <c r="AY78">
        <f t="shared" si="66"/>
        <v>0</v>
      </c>
    </row>
    <row r="79" spans="1:51" x14ac:dyDescent="0.25">
      <c r="N79" s="170">
        <v>61</v>
      </c>
      <c r="O79" s="199">
        <f t="shared" si="41"/>
        <v>40.738027780411279</v>
      </c>
      <c r="P79" s="189" t="str">
        <f t="shared" si="32"/>
        <v>87</v>
      </c>
      <c r="Q79" s="160" t="str">
        <f t="shared" si="33"/>
        <v>1+1.91973433195016i</v>
      </c>
      <c r="R79" s="160">
        <f t="shared" si="42"/>
        <v>2.1645738391813127</v>
      </c>
      <c r="S79" s="160">
        <f t="shared" si="43"/>
        <v>1.090564601866844</v>
      </c>
      <c r="T79" s="160" t="str">
        <f t="shared" si="34"/>
        <v>1+0.00127982288796677i</v>
      </c>
      <c r="U79" s="160">
        <f t="shared" si="44"/>
        <v>1.000000818972977</v>
      </c>
      <c r="V79" s="160">
        <f t="shared" si="45"/>
        <v>1.2798221892069302E-3</v>
      </c>
      <c r="W79" s="98" t="str">
        <f t="shared" si="35"/>
        <v>1-0.000181308242461959i</v>
      </c>
      <c r="X79" s="160">
        <f t="shared" si="46"/>
        <v>1.0000000164363392</v>
      </c>
      <c r="Y79" s="160">
        <f t="shared" si="47"/>
        <v>-1.8130824047526316E-4</v>
      </c>
      <c r="Z79" s="98" t="str">
        <f t="shared" si="36"/>
        <v>0.999999988198493+0.000380875291458911i</v>
      </c>
      <c r="AA79" s="160">
        <f t="shared" si="48"/>
        <v>1.0000000607314852</v>
      </c>
      <c r="AB79" s="160">
        <f t="shared" si="49"/>
        <v>3.8087527753646433E-4</v>
      </c>
      <c r="AC79" s="171" t="str">
        <f t="shared" si="50"/>
        <v>18.5939890926664-35.6330846216968i</v>
      </c>
      <c r="AD79" s="190">
        <f t="shared" si="51"/>
        <v>32.082943675061081</v>
      </c>
      <c r="AE79" s="169">
        <f t="shared" si="52"/>
        <v>-62.443631306260194</v>
      </c>
      <c r="AF79" s="98" t="str">
        <f t="shared" si="37"/>
        <v>-0.0000673063927557778</v>
      </c>
      <c r="AG79" s="98" t="str">
        <f t="shared" si="38"/>
        <v>2.57705136720989E-06i</v>
      </c>
      <c r="AH79" s="98">
        <f t="shared" si="53"/>
        <v>2.5770513672098898E-6</v>
      </c>
      <c r="AI79" s="98">
        <f t="shared" si="54"/>
        <v>1.5707963267948966</v>
      </c>
      <c r="AJ79" s="98" t="str">
        <f t="shared" si="39"/>
        <v>1+0.00259320489814483i</v>
      </c>
      <c r="AK79" s="98">
        <f t="shared" si="55"/>
        <v>1.0000033623501692</v>
      </c>
      <c r="AL79" s="98">
        <f t="shared" si="56"/>
        <v>2.5931990853165594E-3</v>
      </c>
      <c r="AM79" s="98" t="str">
        <f t="shared" si="40"/>
        <v>1+0.383946866390031i</v>
      </c>
      <c r="AN79" s="98">
        <f t="shared" si="57"/>
        <v>1.0711746805310161</v>
      </c>
      <c r="AO79" s="98">
        <f t="shared" si="58"/>
        <v>0.3665913344416688</v>
      </c>
      <c r="AP79" s="168" t="str">
        <f t="shared" si="59"/>
        <v>-9.95997481469547+26.1434266907163i</v>
      </c>
      <c r="AQ79" s="98">
        <f t="shared" si="60"/>
        <v>28.935841572333803</v>
      </c>
      <c r="AR79" s="169">
        <f t="shared" si="61"/>
        <v>110.85555690655065</v>
      </c>
      <c r="AS79" s="168" t="str">
        <f t="shared" si="62"/>
        <v>746.375272503741+841.015216134115i</v>
      </c>
      <c r="AT79" s="190">
        <f t="shared" si="63"/>
        <v>61.018785247394888</v>
      </c>
      <c r="AU79" s="169">
        <f t="shared" si="64"/>
        <v>48.411925600290452</v>
      </c>
      <c r="AV79" s="225"/>
      <c r="AX79">
        <f t="shared" si="65"/>
        <v>0</v>
      </c>
      <c r="AY79">
        <f t="shared" si="66"/>
        <v>0</v>
      </c>
    </row>
    <row r="80" spans="1:51" x14ac:dyDescent="0.25">
      <c r="N80" s="170">
        <v>62</v>
      </c>
      <c r="O80" s="199">
        <f t="shared" si="41"/>
        <v>41.686938347033561</v>
      </c>
      <c r="P80" s="189" t="str">
        <f t="shared" si="32"/>
        <v>87</v>
      </c>
      <c r="Q80" s="160" t="str">
        <f t="shared" si="33"/>
        <v>1+1.96445068892538i</v>
      </c>
      <c r="R80" s="160">
        <f t="shared" si="42"/>
        <v>2.2043290383287606</v>
      </c>
      <c r="S80" s="160">
        <f t="shared" si="43"/>
        <v>1.0999364219992855</v>
      </c>
      <c r="T80" s="160" t="str">
        <f t="shared" si="34"/>
        <v>1+0.00130963379261691i</v>
      </c>
      <c r="U80" s="160">
        <f t="shared" si="44"/>
        <v>1.0000008575699677</v>
      </c>
      <c r="V80" s="160">
        <f t="shared" si="45"/>
        <v>1.3096330438822866E-3</v>
      </c>
      <c r="W80" s="98" t="str">
        <f t="shared" si="35"/>
        <v>1-0.000185531453954063i</v>
      </c>
      <c r="X80" s="160">
        <f t="shared" si="46"/>
        <v>1.00000001721096</v>
      </c>
      <c r="Y80" s="160">
        <f t="shared" si="47"/>
        <v>-1.8553145182528005E-4</v>
      </c>
      <c r="Z80" s="98" t="str">
        <f t="shared" si="36"/>
        <v>0.999999987642305+0.000389747016682794i</v>
      </c>
      <c r="AA80" s="160">
        <f t="shared" si="48"/>
        <v>1.0000000635936717</v>
      </c>
      <c r="AB80" s="160">
        <f t="shared" si="49"/>
        <v>3.8974700176462368E-4</v>
      </c>
      <c r="AC80" s="171" t="str">
        <f t="shared" si="50"/>
        <v>17.9305126888233-35.1597191089053i</v>
      </c>
      <c r="AD80" s="190">
        <f t="shared" si="51"/>
        <v>31.924863662490811</v>
      </c>
      <c r="AE80" s="169">
        <f t="shared" si="52"/>
        <v>-62.979639294589958</v>
      </c>
      <c r="AF80" s="98" t="str">
        <f t="shared" si="37"/>
        <v>-0.0000673063927557778</v>
      </c>
      <c r="AG80" s="98" t="str">
        <f t="shared" si="38"/>
        <v>2.63707860481342E-06i</v>
      </c>
      <c r="AH80" s="98">
        <f t="shared" si="53"/>
        <v>2.6370786048134202E-6</v>
      </c>
      <c r="AI80" s="98">
        <f t="shared" si="54"/>
        <v>1.5707963267948966</v>
      </c>
      <c r="AJ80" s="98" t="str">
        <f t="shared" si="39"/>
        <v>1+0.00265360839981973i</v>
      </c>
      <c r="AK80" s="98">
        <f t="shared" si="55"/>
        <v>1.0000035208125717</v>
      </c>
      <c r="AL80" s="98">
        <f t="shared" si="56"/>
        <v>2.6536021712632043E-3</v>
      </c>
      <c r="AM80" s="98" t="str">
        <f t="shared" si="40"/>
        <v>1+0.392890137785074i</v>
      </c>
      <c r="AN80" s="98">
        <f t="shared" si="57"/>
        <v>1.0744127048619514</v>
      </c>
      <c r="AO80" s="98">
        <f t="shared" si="58"/>
        <v>0.37436219913798907</v>
      </c>
      <c r="AP80" s="168" t="str">
        <f t="shared" si="59"/>
        <v>-9.95997165814377+25.5495191773492i</v>
      </c>
      <c r="AQ80" s="98">
        <f t="shared" si="60"/>
        <v>28.762056926649681</v>
      </c>
      <c r="AR80" s="169">
        <f t="shared" si="61"/>
        <v>111.29733381492269</v>
      </c>
      <c r="AS80" s="168" t="str">
        <f t="shared" si="62"/>
        <v>719.72651944652+808.305783635787i</v>
      </c>
      <c r="AT80" s="190">
        <f t="shared" si="63"/>
        <v>60.686920589140492</v>
      </c>
      <c r="AU80" s="169">
        <f t="shared" si="64"/>
        <v>48.317694520332758</v>
      </c>
      <c r="AV80" s="225"/>
      <c r="AX80">
        <f t="shared" si="65"/>
        <v>0</v>
      </c>
      <c r="AY80">
        <f t="shared" si="66"/>
        <v>0</v>
      </c>
    </row>
    <row r="81" spans="14:51" x14ac:dyDescent="0.25">
      <c r="N81" s="170">
        <v>63</v>
      </c>
      <c r="O81" s="199">
        <f t="shared" si="41"/>
        <v>42.657951880159267</v>
      </c>
      <c r="P81" s="189" t="str">
        <f t="shared" si="32"/>
        <v>87</v>
      </c>
      <c r="Q81" s="160" t="str">
        <f t="shared" si="33"/>
        <v>1+2.01020862365844i</v>
      </c>
      <c r="R81" s="160">
        <f t="shared" si="42"/>
        <v>2.2452034898046009</v>
      </c>
      <c r="S81" s="160">
        <f t="shared" si="43"/>
        <v>1.1091821363498324</v>
      </c>
      <c r="T81" s="160" t="str">
        <f t="shared" si="34"/>
        <v>1+0.00134013908243895i</v>
      </c>
      <c r="U81" s="160">
        <f t="shared" si="44"/>
        <v>1.0000008979859769</v>
      </c>
      <c r="V81" s="160">
        <f t="shared" si="45"/>
        <v>1.3401382801553855E-3</v>
      </c>
      <c r="W81" s="98" t="str">
        <f t="shared" si="35"/>
        <v>1-0.000189853036678852i</v>
      </c>
      <c r="X81" s="160">
        <f t="shared" si="46"/>
        <v>1.0000000180220876</v>
      </c>
      <c r="Y81" s="160">
        <f t="shared" si="47"/>
        <v>-1.8985303439782001E-4</v>
      </c>
      <c r="Z81" s="98" t="str">
        <f t="shared" si="36"/>
        <v>0.999999987059905+0.000398825390933833i</v>
      </c>
      <c r="AA81" s="160">
        <f t="shared" si="48"/>
        <v>1.0000000665907489</v>
      </c>
      <c r="AB81" s="160">
        <f t="shared" si="49"/>
        <v>3.9882537494872545E-4</v>
      </c>
      <c r="AC81" s="171" t="str">
        <f t="shared" si="50"/>
        <v>17.2847709252041-34.680618513666i</v>
      </c>
      <c r="AD81" s="190">
        <f t="shared" si="51"/>
        <v>31.765278258544377</v>
      </c>
      <c r="AE81" s="169">
        <f t="shared" si="52"/>
        <v>-63.508399645078676</v>
      </c>
      <c r="AF81" s="98" t="str">
        <f t="shared" si="37"/>
        <v>-0.0000673063927557778</v>
      </c>
      <c r="AG81" s="98" t="str">
        <f t="shared" si="38"/>
        <v>2.69850405639907E-06i</v>
      </c>
      <c r="AH81" s="98">
        <f t="shared" si="53"/>
        <v>2.6985040563990698E-6</v>
      </c>
      <c r="AI81" s="98">
        <f t="shared" si="54"/>
        <v>1.5707963267948966</v>
      </c>
      <c r="AJ81" s="98" t="str">
        <f t="shared" si="39"/>
        <v>1+0.00271541887979288i</v>
      </c>
      <c r="AK81" s="98">
        <f t="shared" si="55"/>
        <v>1.0000036867430504</v>
      </c>
      <c r="AL81" s="98">
        <f t="shared" si="56"/>
        <v>2.7154122057756478E-3</v>
      </c>
      <c r="AM81" s="98" t="str">
        <f t="shared" si="40"/>
        <v>1+0.402041724731686i</v>
      </c>
      <c r="AN81" s="98">
        <f t="shared" si="57"/>
        <v>1.0777929060933871</v>
      </c>
      <c r="AO81" s="98">
        <f t="shared" si="58"/>
        <v>0.38226524450635274</v>
      </c>
      <c r="AP81" s="168" t="str">
        <f t="shared" si="59"/>
        <v>-9.95996835283054+24.9691583564481i</v>
      </c>
      <c r="AQ81" s="98">
        <f t="shared" si="60"/>
        <v>28.589339197368155</v>
      </c>
      <c r="AR81" s="169">
        <f t="shared" si="61"/>
        <v>111.74660350572128</v>
      </c>
      <c r="AS81" s="168" t="str">
        <f t="shared" si="62"/>
        <v>693.790084166334+777.004045239053i</v>
      </c>
      <c r="AT81" s="190">
        <f t="shared" si="63"/>
        <v>60.354617455912532</v>
      </c>
      <c r="AU81" s="169">
        <f t="shared" si="64"/>
        <v>48.238203860642578</v>
      </c>
      <c r="AV81" s="225"/>
      <c r="AX81">
        <f t="shared" si="65"/>
        <v>0</v>
      </c>
      <c r="AY81">
        <f t="shared" si="66"/>
        <v>0</v>
      </c>
    </row>
    <row r="82" spans="14:51" x14ac:dyDescent="0.25">
      <c r="N82" s="170">
        <v>64</v>
      </c>
      <c r="O82" s="199">
        <f t="shared" si="41"/>
        <v>43.651583224016633</v>
      </c>
      <c r="P82" s="189" t="str">
        <f t="shared" si="32"/>
        <v>87</v>
      </c>
      <c r="Q82" s="160" t="str">
        <f t="shared" si="33"/>
        <v>1+2.05703239761202i</v>
      </c>
      <c r="R82" s="160">
        <f t="shared" si="42"/>
        <v>2.2872215207157911</v>
      </c>
      <c r="S82" s="160">
        <f t="shared" si="43"/>
        <v>1.1183003233613256</v>
      </c>
      <c r="T82" s="160" t="str">
        <f t="shared" si="34"/>
        <v>1+0.00137135493174134i</v>
      </c>
      <c r="U82" s="160">
        <f t="shared" si="44"/>
        <v>1.0000009403067325</v>
      </c>
      <c r="V82" s="160">
        <f t="shared" si="45"/>
        <v>1.371354072079056E-3</v>
      </c>
      <c r="W82" s="98" t="str">
        <f t="shared" si="35"/>
        <v>1-0.00019427528199669i</v>
      </c>
      <c r="X82" s="160">
        <f t="shared" si="46"/>
        <v>1.0000000188714424</v>
      </c>
      <c r="Y82" s="160">
        <f t="shared" si="47"/>
        <v>-1.9427527955252015E-4</v>
      </c>
      <c r="Z82" s="98" t="str">
        <f t="shared" si="36"/>
        <v>0.999999986450057+0.000408115227686223i</v>
      </c>
      <c r="AA82" s="160">
        <f t="shared" si="48"/>
        <v>1.0000000697290743</v>
      </c>
      <c r="AB82" s="160">
        <f t="shared" si="49"/>
        <v>4.0811521055787172E-4</v>
      </c>
      <c r="AC82" s="171" t="str">
        <f t="shared" si="50"/>
        <v>16.6567194186778-34.1965115976113i</v>
      </c>
      <c r="AD82" s="190">
        <f t="shared" si="51"/>
        <v>31.604228204162851</v>
      </c>
      <c r="AE82" s="169">
        <f t="shared" si="52"/>
        <v>-64.029830388873123</v>
      </c>
      <c r="AF82" s="98" t="str">
        <f t="shared" si="37"/>
        <v>-0.0000673063927557778</v>
      </c>
      <c r="AG82" s="98" t="str">
        <f t="shared" si="38"/>
        <v>2.76136029055436E-06i</v>
      </c>
      <c r="AH82" s="98">
        <f t="shared" si="53"/>
        <v>2.7613602905543599E-6</v>
      </c>
      <c r="AI82" s="98">
        <f t="shared" si="54"/>
        <v>1.5707963267948966</v>
      </c>
      <c r="AJ82" s="98" t="str">
        <f t="shared" si="39"/>
        <v>1+0.0027786691107989i</v>
      </c>
      <c r="AK82" s="98">
        <f t="shared" si="55"/>
        <v>1.0000038604935619</v>
      </c>
      <c r="AL82" s="98">
        <f t="shared" si="56"/>
        <v>2.7786619594620835E-3</v>
      </c>
      <c r="AM82" s="98" t="str">
        <f t="shared" si="40"/>
        <v>1+0.411406479522402i</v>
      </c>
      <c r="AN82" s="98">
        <f t="shared" si="57"/>
        <v>1.0813210861686813</v>
      </c>
      <c r="AO82" s="98">
        <f t="shared" si="58"/>
        <v>0.39030071093606716</v>
      </c>
      <c r="AP82" s="168" t="str">
        <f t="shared" si="59"/>
        <v>-9.95996489174495+24.4020365129672i</v>
      </c>
      <c r="AQ82" s="98">
        <f t="shared" si="60"/>
        <v>28.417724711895552</v>
      </c>
      <c r="AR82" s="169">
        <f t="shared" si="61"/>
        <v>112.20337787462141</v>
      </c>
      <c r="AS82" s="168" t="str">
        <f t="shared" si="62"/>
        <v>668.56418399934+747.053930373183i</v>
      </c>
      <c r="AT82" s="190">
        <f t="shared" si="63"/>
        <v>60.021952916058403</v>
      </c>
      <c r="AU82" s="169">
        <f t="shared" si="64"/>
        <v>48.173547485748294</v>
      </c>
      <c r="AV82" s="225"/>
      <c r="AX82">
        <f t="shared" si="65"/>
        <v>0</v>
      </c>
      <c r="AY82">
        <f t="shared" si="66"/>
        <v>0</v>
      </c>
    </row>
    <row r="83" spans="14:51" x14ac:dyDescent="0.25">
      <c r="N83" s="170">
        <v>65</v>
      </c>
      <c r="O83" s="199">
        <f t="shared" si="41"/>
        <v>44.668359215096324</v>
      </c>
      <c r="P83" s="189" t="str">
        <f t="shared" ref="P83:P146" si="67">COMPLEX(Adc,0)</f>
        <v>87</v>
      </c>
      <c r="Q83" s="160" t="str">
        <f t="shared" ref="Q83:Q146" si="68">IMSUM(COMPLEX(1,0),IMDIV(COMPLEX(0,2*PI()*O83),COMPLEX(wp_lf,0)))</f>
        <v>1+2.10494683737085i</v>
      </c>
      <c r="R83" s="160">
        <f t="shared" si="42"/>
        <v>2.3304079445791337</v>
      </c>
      <c r="S83" s="160">
        <f t="shared" si="43"/>
        <v>1.1272897518694265</v>
      </c>
      <c r="T83" s="160" t="str">
        <f t="shared" ref="T83:T146" si="69">IMSUM(COMPLEX(1,0),IMDIV(COMPLEX(0,2*PI()*O83),COMPLEX(wz_esr,0)))</f>
        <v>1+0.00140329789158057i</v>
      </c>
      <c r="U83" s="160">
        <f t="shared" si="44"/>
        <v>1.0000009846220015</v>
      </c>
      <c r="V83" s="160">
        <f t="shared" si="45"/>
        <v>1.4032969704358858E-3</v>
      </c>
      <c r="W83" s="98" t="str">
        <f t="shared" ref="W83:W146" si="70">IMSUB(COMPLEX(1,0),IMDIV(COMPLEX(0,2*PI()*O83),COMPLEX(wz_rhp,0)))</f>
        <v>1-0.00019880053464058i</v>
      </c>
      <c r="X83" s="160">
        <f t="shared" si="46"/>
        <v>1.0000000197608261</v>
      </c>
      <c r="Y83" s="160">
        <f t="shared" si="47"/>
        <v>-1.9880053202160484E-4</v>
      </c>
      <c r="Z83" s="98" t="str">
        <f t="shared" ref="Z83:Z146" si="71">IF(Dc_Mode_Loop="CCM",IMSUM(COMPLEX(1,0),IMDIV(COMPLEX(0,2*PI()*O83),COMPLEX(Q*(wsl/2),0)),IMDIV(IMPOWER(COMPLEX(0,2*PI()*O83),2),IMPOWER(COMPLEX(wsl/2,0),2))),COMPLEX(1,0))</f>
        <v>0.999999985811468+0.000417621452534376i</v>
      </c>
      <c r="AA83" s="160">
        <f t="shared" si="48"/>
        <v>1.0000000730153042</v>
      </c>
      <c r="AB83" s="160">
        <f t="shared" si="49"/>
        <v>4.1762143418101706E-4</v>
      </c>
      <c r="AC83" s="171" t="str">
        <f t="shared" si="50"/>
        <v>16.0462797126153-33.7081075505741i</v>
      </c>
      <c r="AD83" s="190">
        <f t="shared" si="51"/>
        <v>31.441754098669019</v>
      </c>
      <c r="AE83" s="169">
        <f t="shared" si="52"/>
        <v>-64.543860453720967</v>
      </c>
      <c r="AF83" s="98" t="str">
        <f t="shared" ref="AF83:AF146" si="72">COMPLEX(Adc_ea,0)</f>
        <v>-0.0000673063927557778</v>
      </c>
      <c r="AG83" s="98" t="str">
        <f t="shared" ref="AG83:AG146" si="73">COMPLEX(0,2*PI()*O83*wp0_ea)</f>
        <v>2.82568063448663E-06i</v>
      </c>
      <c r="AH83" s="98">
        <f t="shared" si="53"/>
        <v>2.8256806344866299E-6</v>
      </c>
      <c r="AI83" s="98">
        <f t="shared" si="54"/>
        <v>1.5707963267948966</v>
      </c>
      <c r="AJ83" s="98" t="str">
        <f t="shared" ref="AJ83:AJ146" si="74">IMSUM(COMPLEX(1,0),IMDIV(COMPLEX(0,2*PI()*O83),COMPLEX(wp1_ea,0)))</f>
        <v>1+0.00284339262894751i</v>
      </c>
      <c r="AK83" s="98">
        <f t="shared" si="55"/>
        <v>1.0000040424326506</v>
      </c>
      <c r="AL83" s="98">
        <f t="shared" si="56"/>
        <v>2.8433849661537256E-3</v>
      </c>
      <c r="AM83" s="98" t="str">
        <f t="shared" ref="AM83:AM146" si="75">IMSUM(COMPLEX(1,0),IMDIV(COMPLEX(0,2*PI()*O83),COMPLEX(wz_ea,0)))</f>
        <v>1+0.420989367474169i</v>
      </c>
      <c r="AN83" s="98">
        <f t="shared" si="57"/>
        <v>1.0850032477031122</v>
      </c>
      <c r="AO83" s="98">
        <f t="shared" si="58"/>
        <v>0.39846870717569066</v>
      </c>
      <c r="AP83" s="168" t="str">
        <f t="shared" si="59"/>
        <v>-9.95996126754608+23.8478529513379i</v>
      </c>
      <c r="AQ83" s="98">
        <f t="shared" si="60"/>
        <v>28.247250454925243</v>
      </c>
      <c r="AR83" s="169">
        <f t="shared" si="61"/>
        <v>112.66766123110982</v>
      </c>
      <c r="AS83" s="168" t="str">
        <f t="shared" si="62"/>
        <v>644.045667708115+718.400764608482i</v>
      </c>
      <c r="AT83" s="190">
        <f t="shared" si="63"/>
        <v>59.689004553594259</v>
      </c>
      <c r="AU83" s="169">
        <f t="shared" si="64"/>
        <v>48.123800777388873</v>
      </c>
      <c r="AV83" s="225"/>
      <c r="AX83">
        <f t="shared" si="65"/>
        <v>0</v>
      </c>
      <c r="AY83">
        <f t="shared" si="66"/>
        <v>0</v>
      </c>
    </row>
    <row r="84" spans="14:51" x14ac:dyDescent="0.25">
      <c r="N84" s="170">
        <v>66</v>
      </c>
      <c r="O84" s="199">
        <f t="shared" ref="O84:O118" si="76">10^(1+(N84/100))</f>
        <v>45.70881896148753</v>
      </c>
      <c r="P84" s="189" t="str">
        <f t="shared" si="67"/>
        <v>87</v>
      </c>
      <c r="Q84" s="160" t="str">
        <f t="shared" si="68"/>
        <v>1+2.15397734780513i</v>
      </c>
      <c r="R84" s="160">
        <f t="shared" ref="R84:R147" si="77">IMABS(Q84)</f>
        <v>2.3747880778835029</v>
      </c>
      <c r="S84" s="160">
        <f t="shared" ref="S84:S147" si="78">IMARGUMENT(Q84)</f>
        <v>1.1361493757255008</v>
      </c>
      <c r="T84" s="160" t="str">
        <f t="shared" si="69"/>
        <v>1+0.00143598489853675i</v>
      </c>
      <c r="U84" s="160">
        <f t="shared" ref="U84:U147" si="79">IMABS(T84)</f>
        <v>1.000001031025783</v>
      </c>
      <c r="V84" s="160">
        <f t="shared" ref="V84:V147" si="80">IMARGUMENT(T84)</f>
        <v>1.4359839115124927E-3</v>
      </c>
      <c r="W84" s="98" t="str">
        <f t="shared" si="70"/>
        <v>1-0.000203431193959373i</v>
      </c>
      <c r="X84" s="160">
        <f t="shared" ref="X84:X147" si="81">IMABS(W84)</f>
        <v>1.0000000206921251</v>
      </c>
      <c r="Y84" s="160">
        <f t="shared" ref="Y84:Y147" si="82">IMARGUMENT(W84)</f>
        <v>-2.0343119115309055E-4</v>
      </c>
      <c r="Z84" s="98" t="str">
        <f t="shared" si="71"/>
        <v>0.999999985142783+0.000427349105804537i</v>
      </c>
      <c r="AA84" s="160">
        <f t="shared" ref="AA84:AA147" si="83">IMABS(Z84)</f>
        <v>1.0000000764564094</v>
      </c>
      <c r="AB84" s="160">
        <f t="shared" ref="AB84:AB147" si="84">IMARGUMENT(Z84)</f>
        <v>4.2734908613855868E-4</v>
      </c>
      <c r="AC84" s="171" t="str">
        <f t="shared" ref="AC84:AC147" si="85">(IMDIV(IMPRODUCT(P84,T84,W84),IMPRODUCT(Q84,Z84)))</f>
        <v>15.453341401507-33.2160945498182i</v>
      </c>
      <c r="AD84" s="190">
        <f t="shared" ref="AD84:AD147" si="86">20*LOG(IMABS(AC84))</f>
        <v>31.277896323846015</v>
      </c>
      <c r="AE84" s="169">
        <f t="shared" ref="AE84:AE147" si="87">(180/PI())*IMARGUMENT(AC84)</f>
        <v>-65.050429355605004</v>
      </c>
      <c r="AF84" s="98" t="str">
        <f t="shared" si="72"/>
        <v>-0.0000673063927557778</v>
      </c>
      <c r="AG84" s="98" t="str">
        <f t="shared" si="73"/>
        <v>0.0000028914991916936i</v>
      </c>
      <c r="AH84" s="98">
        <f t="shared" ref="AH84:AH147" si="88">IMABS(AG84)</f>
        <v>2.8914991916936E-6</v>
      </c>
      <c r="AI84" s="98">
        <f t="shared" ref="AI84:AI147" si="89">IMARGUMENT(AG84)</f>
        <v>1.5707963267948966</v>
      </c>
      <c r="AJ84" s="98" t="str">
        <f t="shared" si="74"/>
        <v>1+0.00290962375150474i</v>
      </c>
      <c r="AK84" s="98">
        <f t="shared" ref="AK84:AK147" si="90">IMABS(AJ84)</f>
        <v>1.0000042329462289</v>
      </c>
      <c r="AL84" s="98">
        <f t="shared" ref="AL84:AL147" si="91">IMARGUMENT(AJ84)</f>
        <v>2.9096155406751452E-3</v>
      </c>
      <c r="AM84" s="98" t="str">
        <f t="shared" si="75"/>
        <v>1+0.430795469561025i</v>
      </c>
      <c r="AN84" s="98">
        <f t="shared" ref="AN84:AN147" si="92">IMABS(AM84)</f>
        <v>1.0888455981425025</v>
      </c>
      <c r="AO84" s="98">
        <f t="shared" ref="AO84:AO147" si="93">IMARGUMENT(AM84)</f>
        <v>0.40676920345654005</v>
      </c>
      <c r="AP84" s="168" t="str">
        <f t="shared" ref="AP84:AP147" si="94">IMPRODUCT(AF84,IMDIV(AM84,IMPRODUCT(AG84,AJ84)))</f>
        <v>-9.9599574725468+23.3063138360355i</v>
      </c>
      <c r="AQ84" s="98">
        <f t="shared" ref="AQ84:AQ147" si="95">20*LOG(IMABS(AP84))</f>
        <v>28.077954032198832</v>
      </c>
      <c r="AR84" s="169">
        <f t="shared" ref="AR84:AR147" si="96">(180/PI())*IMARGUMENT(AP84)</f>
        <v>113.1394499034717</v>
      </c>
      <c r="AS84" s="168" t="str">
        <f t="shared" ref="AS84:AS147" si="97">IMPRODUCT(AC84,AP84)</f>
        <v>620.230100817735+690.991313639206i</v>
      </c>
      <c r="AT84" s="190">
        <f t="shared" ref="AT84:AT147" si="98">20*LOG(IMABS(AS84))</f>
        <v>59.35585035604484</v>
      </c>
      <c r="AU84" s="169">
        <f t="shared" ref="AU84:AU147" si="99">(180/PI())*IMARGUMENT(AS84)</f>
        <v>48.089020547866724</v>
      </c>
      <c r="AV84" s="225"/>
      <c r="AX84">
        <f t="shared" ref="AX84:AX147" si="100">SUM((AT85&lt;0)*(AT84&gt;0))*O84</f>
        <v>0</v>
      </c>
      <c r="AY84">
        <f t="shared" ref="AY84:AY147" si="101">IF(AX84&gt;0,AU84,0)</f>
        <v>0</v>
      </c>
    </row>
    <row r="85" spans="14:51" x14ac:dyDescent="0.25">
      <c r="N85" s="170">
        <v>67</v>
      </c>
      <c r="O85" s="199">
        <f t="shared" si="76"/>
        <v>46.773514128719818</v>
      </c>
      <c r="P85" s="189" t="str">
        <f t="shared" si="67"/>
        <v>87</v>
      </c>
      <c r="Q85" s="160" t="str">
        <f t="shared" si="68"/>
        <v>1+2.20414992554047i</v>
      </c>
      <c r="R85" s="160">
        <f t="shared" si="77"/>
        <v>2.4203877570050758</v>
      </c>
      <c r="S85" s="160">
        <f t="shared" si="78"/>
        <v>1.1448783280646846</v>
      </c>
      <c r="T85" s="160" t="str">
        <f t="shared" si="69"/>
        <v>1+0.00146943328369364i</v>
      </c>
      <c r="U85" s="160">
        <f t="shared" si="79"/>
        <v>1.0000010796165049</v>
      </c>
      <c r="V85" s="160">
        <f t="shared" si="80"/>
        <v>1.4694322260781554E-3</v>
      </c>
      <c r="W85" s="98" t="str">
        <f t="shared" si="70"/>
        <v>1-0.000208169715189933i</v>
      </c>
      <c r="X85" s="160">
        <f t="shared" si="81"/>
        <v>1.0000000216673148</v>
      </c>
      <c r="Y85" s="160">
        <f t="shared" si="82"/>
        <v>-2.0816971218294721E-4</v>
      </c>
      <c r="Z85" s="98" t="str">
        <f t="shared" si="71"/>
        <v>0.999999984442584+0.000437303345227229i</v>
      </c>
      <c r="AA85" s="160">
        <f t="shared" si="83"/>
        <v>1.0000000800596887</v>
      </c>
      <c r="AB85" s="160">
        <f t="shared" si="84"/>
        <v>4.3730332415475371E-4</v>
      </c>
      <c r="AC85" s="171" t="str">
        <f t="shared" si="85"/>
        <v>14.8777642819948-32.7211385197655i</v>
      </c>
      <c r="AD85" s="190">
        <f t="shared" si="86"/>
        <v>31.112694972935774</v>
      </c>
      <c r="AE85" s="169">
        <f t="shared" si="87"/>
        <v>-65.549486870037427</v>
      </c>
      <c r="AF85" s="98" t="str">
        <f t="shared" si="72"/>
        <v>-0.0000673063927557778</v>
      </c>
      <c r="AG85" s="98" t="str">
        <f t="shared" si="73"/>
        <v>2.95885086004552E-06i</v>
      </c>
      <c r="AH85" s="98">
        <f t="shared" si="88"/>
        <v>2.9588508600455202E-6</v>
      </c>
      <c r="AI85" s="98">
        <f t="shared" si="89"/>
        <v>1.5707963267948966</v>
      </c>
      <c r="AJ85" s="98" t="str">
        <f t="shared" si="74"/>
        <v>1+0.00297739759508843i</v>
      </c>
      <c r="AK85" s="98">
        <f t="shared" si="90"/>
        <v>1.0000044324383963</v>
      </c>
      <c r="AL85" s="98">
        <f t="shared" si="91"/>
        <v>2.9773887970281133E-3</v>
      </c>
      <c r="AM85" s="98" t="str">
        <f t="shared" si="75"/>
        <v>1+0.440829985108093i</v>
      </c>
      <c r="AN85" s="98">
        <f t="shared" si="92"/>
        <v>1.0928545538041197</v>
      </c>
      <c r="AO85" s="98">
        <f t="shared" si="93"/>
        <v>0.41520202464356126</v>
      </c>
      <c r="AP85" s="168" t="str">
        <f t="shared" si="94"/>
        <v>-9.95995349869775+22.7771320357835i</v>
      </c>
      <c r="AQ85" s="98">
        <f t="shared" si="95"/>
        <v>27.90987362978505</v>
      </c>
      <c r="AR85" s="169">
        <f t="shared" si="96"/>
        <v>113.61873184532352</v>
      </c>
      <c r="AS85" s="168" t="str">
        <f t="shared" si="97"/>
        <v>597.111852012606+664.773819529571i</v>
      </c>
      <c r="AT85" s="190">
        <f t="shared" si="98"/>
        <v>59.022568602720824</v>
      </c>
      <c r="AU85" s="169">
        <f t="shared" si="99"/>
        <v>48.069244975286082</v>
      </c>
      <c r="AV85" s="225"/>
      <c r="AX85">
        <f t="shared" si="100"/>
        <v>0</v>
      </c>
      <c r="AY85">
        <f t="shared" si="101"/>
        <v>0</v>
      </c>
    </row>
    <row r="86" spans="14:51" x14ac:dyDescent="0.25">
      <c r="N86" s="170">
        <v>68</v>
      </c>
      <c r="O86" s="199">
        <f t="shared" si="76"/>
        <v>47.863009232263877</v>
      </c>
      <c r="P86" s="189" t="str">
        <f t="shared" si="67"/>
        <v>87</v>
      </c>
      <c r="Q86" s="160" t="str">
        <f t="shared" si="68"/>
        <v>1+2.25549117274171i</v>
      </c>
      <c r="R86" s="160">
        <f t="shared" si="77"/>
        <v>2.4672333554643293</v>
      </c>
      <c r="S86" s="160">
        <f t="shared" si="78"/>
        <v>1.1534759152714584</v>
      </c>
      <c r="T86" s="160" t="str">
        <f t="shared" si="69"/>
        <v>1+0.00150366078182781i</v>
      </c>
      <c r="U86" s="160">
        <f t="shared" si="79"/>
        <v>1.0000011304972345</v>
      </c>
      <c r="V86" s="160">
        <f t="shared" si="80"/>
        <v>1.5036596485724699E-3</v>
      </c>
      <c r="W86" s="98" t="str">
        <f t="shared" si="70"/>
        <v>1-0.00021301861075894i</v>
      </c>
      <c r="X86" s="160">
        <f t="shared" si="81"/>
        <v>1.000000022688464</v>
      </c>
      <c r="Y86" s="160">
        <f t="shared" si="82"/>
        <v>-2.1301860753689664E-4</v>
      </c>
      <c r="Z86" s="98" t="str">
        <f t="shared" si="71"/>
        <v>0.999999983709386+0.000447489448671955i</v>
      </c>
      <c r="AA86" s="160">
        <f t="shared" si="83"/>
        <v>1.000000083832786</v>
      </c>
      <c r="AB86" s="160">
        <f t="shared" si="84"/>
        <v>4.4748942609239067E-4</v>
      </c>
      <c r="AC86" s="171" t="str">
        <f t="shared" si="85"/>
        <v>14.3193805129971-32.2238820859444i</v>
      </c>
      <c r="AD86" s="190">
        <f t="shared" si="86"/>
        <v>30.94618978459788</v>
      </c>
      <c r="AE86" s="169">
        <f t="shared" si="87"/>
        <v>-66.040992686018456</v>
      </c>
      <c r="AF86" s="98" t="str">
        <f t="shared" si="72"/>
        <v>-0.0000673063927557778</v>
      </c>
      <c r="AG86" s="98" t="str">
        <f t="shared" si="73"/>
        <v>3.02777135028847E-06i</v>
      </c>
      <c r="AH86" s="98">
        <f t="shared" si="88"/>
        <v>3.0277713502884699E-6</v>
      </c>
      <c r="AI86" s="98">
        <f t="shared" si="89"/>
        <v>1.5707963267948966</v>
      </c>
      <c r="AJ86" s="98" t="str">
        <f t="shared" si="74"/>
        <v>1+0.00304675009428757i</v>
      </c>
      <c r="AK86" s="98">
        <f t="shared" si="90"/>
        <v>1.0000046413322976</v>
      </c>
      <c r="AL86" s="98">
        <f t="shared" si="91"/>
        <v>3.0467406669984552E-3</v>
      </c>
      <c r="AM86" s="98" t="str">
        <f t="shared" si="75"/>
        <v>1+0.451098234548341i</v>
      </c>
      <c r="AN86" s="98">
        <f t="shared" si="92"/>
        <v>1.0970367437841952</v>
      </c>
      <c r="AO86" s="98">
        <f t="shared" si="93"/>
        <v>0.42376684345056465</v>
      </c>
      <c r="AP86" s="168" t="str">
        <f t="shared" si="94"/>
        <v>-9.95994933757041+22.2600269713122i</v>
      </c>
      <c r="AQ86" s="98">
        <f t="shared" si="95"/>
        <v>27.743047968733251</v>
      </c>
      <c r="AR86" s="169">
        <f t="shared" si="96"/>
        <v>114.10548624580851</v>
      </c>
      <c r="AS86" s="168" t="str">
        <f t="shared" si="97"/>
        <v>574.684179898662+639.698029467647i</v>
      </c>
      <c r="AT86" s="190">
        <f t="shared" si="98"/>
        <v>58.689237753331128</v>
      </c>
      <c r="AU86" s="169">
        <f t="shared" si="99"/>
        <v>48.064493559790094</v>
      </c>
      <c r="AV86" s="225"/>
      <c r="AX86">
        <f t="shared" si="100"/>
        <v>0</v>
      </c>
      <c r="AY86">
        <f t="shared" si="101"/>
        <v>0</v>
      </c>
    </row>
    <row r="87" spans="14:51" x14ac:dyDescent="0.25">
      <c r="N87" s="170">
        <v>69</v>
      </c>
      <c r="O87" s="199">
        <f t="shared" si="76"/>
        <v>48.977881936844632</v>
      </c>
      <c r="P87" s="189" t="str">
        <f t="shared" si="67"/>
        <v>87</v>
      </c>
      <c r="Q87" s="160" t="str">
        <f t="shared" si="68"/>
        <v>1+2.3080283112177i</v>
      </c>
      <c r="R87" s="160">
        <f t="shared" si="77"/>
        <v>2.5153518015145373</v>
      </c>
      <c r="S87" s="160">
        <f t="shared" si="78"/>
        <v>1.161941610693136</v>
      </c>
      <c r="T87" s="160" t="str">
        <f t="shared" si="69"/>
        <v>1+0.0015386855408118i</v>
      </c>
      <c r="U87" s="160">
        <f t="shared" si="79"/>
        <v>1.000001183775896</v>
      </c>
      <c r="V87" s="160">
        <f t="shared" si="80"/>
        <v>1.5386843265069029E-3</v>
      </c>
      <c r="W87" s="98" t="str">
        <f t="shared" si="70"/>
        <v>1-0.000217980451615005i</v>
      </c>
      <c r="X87" s="160">
        <f t="shared" si="81"/>
        <v>1.0000000237577384</v>
      </c>
      <c r="Y87" s="160">
        <f t="shared" si="82"/>
        <v>-2.1798044816252336E-4</v>
      </c>
      <c r="Z87" s="98" t="str">
        <f t="shared" si="71"/>
        <v>0.999999982941633+0.00045791281694559i</v>
      </c>
      <c r="AA87" s="160">
        <f t="shared" si="83"/>
        <v>1.0000000877837032</v>
      </c>
      <c r="AB87" s="160">
        <f t="shared" si="84"/>
        <v>4.5791279275115112E-4</v>
      </c>
      <c r="AC87" s="171" t="str">
        <f t="shared" si="85"/>
        <v>13.7779967690313-31.724943715605i</v>
      </c>
      <c r="AD87" s="190">
        <f t="shared" si="86"/>
        <v>30.778420081831474</v>
      </c>
      <c r="AE87" s="169">
        <f t="shared" si="87"/>
        <v>-66.524916045543677</v>
      </c>
      <c r="AF87" s="98" t="str">
        <f t="shared" si="72"/>
        <v>-0.0000673063927557778</v>
      </c>
      <c r="AG87" s="98" t="str">
        <f t="shared" si="73"/>
        <v>3.09829720497863E-06i</v>
      </c>
      <c r="AH87" s="98">
        <f t="shared" si="88"/>
        <v>3.0982972049786302E-6</v>
      </c>
      <c r="AI87" s="98">
        <f t="shared" si="89"/>
        <v>1.5707963267948966</v>
      </c>
      <c r="AJ87" s="98" t="str">
        <f t="shared" si="74"/>
        <v>1+0.0031177180207152i</v>
      </c>
      <c r="AK87" s="98">
        <f t="shared" si="90"/>
        <v>1.0000048600710181</v>
      </c>
      <c r="AL87" s="98">
        <f t="shared" si="91"/>
        <v>3.117707919195569E-3</v>
      </c>
      <c r="AM87" s="98" t="str">
        <f t="shared" si="75"/>
        <v>1+0.461605662243538i</v>
      </c>
      <c r="AN87" s="98">
        <f t="shared" si="92"/>
        <v>1.1013990137163259</v>
      </c>
      <c r="AO87" s="98">
        <f t="shared" si="93"/>
        <v>0.43246317375965054</v>
      </c>
      <c r="AP87" s="168" t="str">
        <f t="shared" si="94"/>
        <v>-9.95994498033896+21.7547244665921i</v>
      </c>
      <c r="AQ87" s="98">
        <f t="shared" si="95"/>
        <v>27.577516254979493</v>
      </c>
      <c r="AR87" s="169">
        <f t="shared" si="96"/>
        <v>114.59968314573644</v>
      </c>
      <c r="AS87" s="168" t="str">
        <f t="shared" si="97"/>
        <v>552.93931949229+615.715217323648i</v>
      </c>
      <c r="AT87" s="190">
        <f t="shared" si="98"/>
        <v>58.355936336810963</v>
      </c>
      <c r="AU87" s="169">
        <f t="shared" si="99"/>
        <v>48.07476710019273</v>
      </c>
      <c r="AV87" s="225"/>
      <c r="AX87">
        <f t="shared" si="100"/>
        <v>0</v>
      </c>
      <c r="AY87">
        <f t="shared" si="101"/>
        <v>0</v>
      </c>
    </row>
    <row r="88" spans="14:51" x14ac:dyDescent="0.25">
      <c r="N88" s="170">
        <v>70</v>
      </c>
      <c r="O88" s="199">
        <f t="shared" si="76"/>
        <v>50.118723362727238</v>
      </c>
      <c r="P88" s="189" t="str">
        <f t="shared" si="67"/>
        <v>87</v>
      </c>
      <c r="Q88" s="160" t="str">
        <f t="shared" si="68"/>
        <v>1+2.36178919685465i</v>
      </c>
      <c r="R88" s="160">
        <f t="shared" si="77"/>
        <v>2.5647705960532474</v>
      </c>
      <c r="S88" s="160">
        <f t="shared" si="78"/>
        <v>1.170275048149596</v>
      </c>
      <c r="T88" s="160" t="str">
        <f t="shared" si="69"/>
        <v>1+0.00157452613123643i</v>
      </c>
      <c r="U88" s="160">
        <f t="shared" si="79"/>
        <v>1.0000012395655007</v>
      </c>
      <c r="V88" s="160">
        <f t="shared" si="80"/>
        <v>1.5745248300853775E-3</v>
      </c>
      <c r="W88" s="98" t="str">
        <f t="shared" si="70"/>
        <v>1-0.000223057868591828i</v>
      </c>
      <c r="X88" s="160">
        <f t="shared" si="81"/>
        <v>1.0000000248774061</v>
      </c>
      <c r="Y88" s="160">
        <f t="shared" si="82"/>
        <v>-2.2305786489242726E-4</v>
      </c>
      <c r="Z88" s="98" t="str">
        <f t="shared" si="71"/>
        <v>0.999999982137696+0.000468578976655962i</v>
      </c>
      <c r="AA88" s="160">
        <f t="shared" si="83"/>
        <v>1.0000000919208207</v>
      </c>
      <c r="AB88" s="160">
        <f t="shared" si="84"/>
        <v>4.6857895073115422E-4</v>
      </c>
      <c r="AC88" s="171" t="str">
        <f t="shared" si="85"/>
        <v>13.2533963722974-31.2249170363824i</v>
      </c>
      <c r="AD88" s="190">
        <f t="shared" si="86"/>
        <v>30.609424715827384</v>
      </c>
      <c r="AE88" s="169">
        <f t="shared" si="87"/>
        <v>-67.001235371429644</v>
      </c>
      <c r="AF88" s="98" t="str">
        <f t="shared" si="72"/>
        <v>-0.0000673063927557778</v>
      </c>
      <c r="AG88" s="98" t="str">
        <f t="shared" si="73"/>
        <v>3.17046581785768E-06i</v>
      </c>
      <c r="AH88" s="98">
        <f t="shared" si="88"/>
        <v>3.1704658178576801E-6</v>
      </c>
      <c r="AI88" s="98">
        <f t="shared" si="89"/>
        <v>1.5707963267948966</v>
      </c>
      <c r="AJ88" s="98" t="str">
        <f t="shared" si="74"/>
        <v>1+0.00319033900250528i</v>
      </c>
      <c r="AK88" s="98">
        <f t="shared" si="90"/>
        <v>1.0000050891185259</v>
      </c>
      <c r="AL88" s="98">
        <f t="shared" si="91"/>
        <v>3.1903281785349582E-3</v>
      </c>
      <c r="AM88" s="98" t="str">
        <f t="shared" si="75"/>
        <v>1+0.472357839370929i</v>
      </c>
      <c r="AN88" s="98">
        <f t="shared" si="92"/>
        <v>1.1059484293651185</v>
      </c>
      <c r="AO88" s="98">
        <f t="shared" si="93"/>
        <v>0.44129036408748185</v>
      </c>
      <c r="AP88" s="168" t="str">
        <f t="shared" si="94"/>
        <v>-9.9599404177615+21.2609566034613i</v>
      </c>
      <c r="AQ88" s="98">
        <f t="shared" si="95"/>
        <v>27.413318124406132</v>
      </c>
      <c r="AR88" s="169">
        <f t="shared" si="96"/>
        <v>115.10128306211249</v>
      </c>
      <c r="AS88" s="168" t="str">
        <f t="shared" si="97"/>
        <v>531.868567856147+592.778198351801i</v>
      </c>
      <c r="AT88" s="190">
        <f t="shared" si="98"/>
        <v>58.022742840233512</v>
      </c>
      <c r="AU88" s="169">
        <f t="shared" si="99"/>
        <v>48.100047690682857</v>
      </c>
      <c r="AV88" s="225"/>
      <c r="AX88">
        <f t="shared" si="100"/>
        <v>0</v>
      </c>
      <c r="AY88">
        <f t="shared" si="101"/>
        <v>0</v>
      </c>
    </row>
    <row r="89" spans="14:51" x14ac:dyDescent="0.25">
      <c r="N89" s="170">
        <v>71</v>
      </c>
      <c r="O89" s="199">
        <f t="shared" si="76"/>
        <v>51.28613839913649</v>
      </c>
      <c r="P89" s="189" t="str">
        <f t="shared" si="67"/>
        <v>87</v>
      </c>
      <c r="Q89" s="160" t="str">
        <f t="shared" si="68"/>
        <v>1+2.41680233438575i</v>
      </c>
      <c r="R89" s="160">
        <f t="shared" si="77"/>
        <v>2.6155178308496407</v>
      </c>
      <c r="S89" s="160">
        <f t="shared" si="78"/>
        <v>1.1784760152851641</v>
      </c>
      <c r="T89" s="160" t="str">
        <f t="shared" si="69"/>
        <v>1+0.00161120155625717i</v>
      </c>
      <c r="U89" s="160">
        <f t="shared" si="79"/>
        <v>1.0000012979843851</v>
      </c>
      <c r="V89" s="160">
        <f t="shared" si="80"/>
        <v>1.611200162048796E-3</v>
      </c>
      <c r="W89" s="98" t="str">
        <f t="shared" si="70"/>
        <v>1-0.000228253553803099i</v>
      </c>
      <c r="X89" s="160">
        <f t="shared" si="81"/>
        <v>1.0000000260498421</v>
      </c>
      <c r="Y89" s="160">
        <f t="shared" si="82"/>
        <v>-2.2825354983911972E-4</v>
      </c>
      <c r="Z89" s="98" t="str">
        <f t="shared" si="71"/>
        <v>0.999999981295872+0.000479493583142132i</v>
      </c>
      <c r="AA89" s="160">
        <f t="shared" si="83"/>
        <v>1.0000000962529156</v>
      </c>
      <c r="AB89" s="160">
        <f t="shared" si="84"/>
        <v>4.7949355536319992E-4</v>
      </c>
      <c r="AC89" s="171" t="str">
        <f t="shared" si="85"/>
        <v>12.7453413905784-30.7243703235361i</v>
      </c>
      <c r="AD89" s="190">
        <f t="shared" si="86"/>
        <v>30.439242014686258</v>
      </c>
      <c r="AE89" s="169">
        <f t="shared" si="87"/>
        <v>-67.469937886089113</v>
      </c>
      <c r="AF89" s="98" t="str">
        <f t="shared" si="72"/>
        <v>-0.0000673063927557778</v>
      </c>
      <c r="AG89" s="98" t="str">
        <f t="shared" si="73"/>
        <v>3.24431545367943E-06i</v>
      </c>
      <c r="AH89" s="98">
        <f t="shared" si="88"/>
        <v>3.2443154536794302E-6</v>
      </c>
      <c r="AI89" s="98">
        <f t="shared" si="89"/>
        <v>1.5707963267948966</v>
      </c>
      <c r="AJ89" s="98" t="str">
        <f t="shared" si="74"/>
        <v>1+0.00326465154426362i</v>
      </c>
      <c r="AK89" s="98">
        <f t="shared" si="90"/>
        <v>1.0000053289606539</v>
      </c>
      <c r="AL89" s="98">
        <f t="shared" si="91"/>
        <v>3.2646399461737992E-3</v>
      </c>
      <c r="AM89" s="98" t="str">
        <f t="shared" si="75"/>
        <v>1+0.483360466877149i</v>
      </c>
      <c r="AN89" s="98">
        <f t="shared" si="92"/>
        <v>1.1106922800396586</v>
      </c>
      <c r="AO89" s="98">
        <f t="shared" si="93"/>
        <v>0.45024759124366603</v>
      </c>
      <c r="AP89" s="168" t="str">
        <f t="shared" si="94"/>
        <v>-9.95993564016091+20.7784615795714i</v>
      </c>
      <c r="AQ89" s="98">
        <f t="shared" si="95"/>
        <v>27.250493582984177</v>
      </c>
      <c r="AR89" s="169">
        <f t="shared" si="96"/>
        <v>115.61023662364786</v>
      </c>
      <c r="AS89" s="168" t="str">
        <f t="shared" si="97"/>
        <v>511.462368362079+570.841337409544i</v>
      </c>
      <c r="AT89" s="190">
        <f t="shared" si="98"/>
        <v>57.689735597670442</v>
      </c>
      <c r="AU89" s="169">
        <f t="shared" si="99"/>
        <v>48.140298737558773</v>
      </c>
      <c r="AV89" s="225"/>
      <c r="AX89">
        <f t="shared" si="100"/>
        <v>0</v>
      </c>
      <c r="AY89">
        <f t="shared" si="101"/>
        <v>0</v>
      </c>
    </row>
    <row r="90" spans="14:51" x14ac:dyDescent="0.25">
      <c r="N90" s="170">
        <v>72</v>
      </c>
      <c r="O90" s="199">
        <f t="shared" si="76"/>
        <v>52.480746024977286</v>
      </c>
      <c r="P90" s="189" t="str">
        <f t="shared" si="67"/>
        <v>87</v>
      </c>
      <c r="Q90" s="160" t="str">
        <f t="shared" si="68"/>
        <v>1+2.47309689250471i</v>
      </c>
      <c r="R90" s="160">
        <f t="shared" si="77"/>
        <v>2.66762220708189</v>
      </c>
      <c r="S90" s="160">
        <f t="shared" si="78"/>
        <v>1.1865444468059214</v>
      </c>
      <c r="T90" s="160" t="str">
        <f t="shared" si="69"/>
        <v>1+0.00164873126166981i</v>
      </c>
      <c r="U90" s="160">
        <f t="shared" si="79"/>
        <v>1.0000013591564629</v>
      </c>
      <c r="V90" s="160">
        <f t="shared" si="80"/>
        <v>1.6487297677487314E-3</v>
      </c>
      <c r="W90" s="98" t="str">
        <f t="shared" si="70"/>
        <v>1-0.00023357026206989i</v>
      </c>
      <c r="X90" s="160">
        <f t="shared" si="81"/>
        <v>1.0000000272775333</v>
      </c>
      <c r="Y90" s="160">
        <f t="shared" si="82"/>
        <v>-2.3357025782240966E-4</v>
      </c>
      <c r="Z90" s="98" t="str">
        <f t="shared" si="71"/>
        <v>0.999999980414374+0.000490662423472934i</v>
      </c>
      <c r="AA90" s="160">
        <f t="shared" si="83"/>
        <v>1.0000001007891759</v>
      </c>
      <c r="AB90" s="160">
        <f t="shared" si="84"/>
        <v>4.9066239370727197E-4</v>
      </c>
      <c r="AC90" s="171" t="str">
        <f t="shared" si="85"/>
        <v>12.2535746895072-30.2238461456349i</v>
      </c>
      <c r="AD90" s="190">
        <f t="shared" si="86"/>
        <v>30.267909736911381</v>
      </c>
      <c r="AE90" s="169">
        <f t="shared" si="87"/>
        <v>-67.931019223732918</v>
      </c>
      <c r="AF90" s="98" t="str">
        <f t="shared" si="72"/>
        <v>-0.0000673063927557778</v>
      </c>
      <c r="AG90" s="98" t="str">
        <f t="shared" si="73"/>
        <v>3.31988526849832E-06i</v>
      </c>
      <c r="AH90" s="98">
        <f t="shared" si="88"/>
        <v>3.3198852684983202E-6</v>
      </c>
      <c r="AI90" s="98">
        <f t="shared" si="89"/>
        <v>1.5707963267948966</v>
      </c>
      <c r="AJ90" s="98" t="str">
        <f t="shared" si="74"/>
        <v>1+0.00334069504748351i</v>
      </c>
      <c r="AK90" s="98">
        <f t="shared" si="90"/>
        <v>1.0000055801061314</v>
      </c>
      <c r="AL90" s="98">
        <f t="shared" si="91"/>
        <v>3.3406826199101083E-3</v>
      </c>
      <c r="AM90" s="98" t="str">
        <f t="shared" si="75"/>
        <v>1+0.494619378500941i</v>
      </c>
      <c r="AN90" s="98">
        <f t="shared" si="92"/>
        <v>1.1156380818117753</v>
      </c>
      <c r="AO90" s="98">
        <f t="shared" si="93"/>
        <v>0.4593338542289756</v>
      </c>
      <c r="AP90" s="168" t="str">
        <f t="shared" si="94"/>
        <v>-9.95993063740388+20.3069835695759i</v>
      </c>
      <c r="AQ90" s="98">
        <f t="shared" si="95"/>
        <v>27.089082941957283</v>
      </c>
      <c r="AR90" s="169">
        <f t="shared" si="96"/>
        <v>116.12648421998399</v>
      </c>
      <c r="AS90" s="168" t="str">
        <f t="shared" si="97"/>
        <v>491.710393121058+549.860551094484i</v>
      </c>
      <c r="AT90" s="190">
        <f t="shared" si="98"/>
        <v>57.356992678868657</v>
      </c>
      <c r="AU90" s="169">
        <f t="shared" si="99"/>
        <v>48.195464996251083</v>
      </c>
      <c r="AV90" s="225"/>
      <c r="AX90">
        <f t="shared" si="100"/>
        <v>0</v>
      </c>
      <c r="AY90">
        <f t="shared" si="101"/>
        <v>0</v>
      </c>
    </row>
    <row r="91" spans="14:51" x14ac:dyDescent="0.25">
      <c r="N91" s="170">
        <v>73</v>
      </c>
      <c r="O91" s="199">
        <f t="shared" si="76"/>
        <v>53.703179637025293</v>
      </c>
      <c r="P91" s="189" t="str">
        <f t="shared" si="67"/>
        <v>87</v>
      </c>
      <c r="Q91" s="160" t="str">
        <f t="shared" si="68"/>
        <v>1+2.53070271933138i</v>
      </c>
      <c r="R91" s="160">
        <f t="shared" si="77"/>
        <v>2.7211130541804471</v>
      </c>
      <c r="S91" s="160">
        <f t="shared" si="78"/>
        <v>1.1944804176430217</v>
      </c>
      <c r="T91" s="160" t="str">
        <f t="shared" si="69"/>
        <v>1+0.00168713514622092i</v>
      </c>
      <c r="U91" s="160">
        <f t="shared" si="79"/>
        <v>1.000001423211488</v>
      </c>
      <c r="V91" s="160">
        <f t="shared" si="80"/>
        <v>1.6871335454557667E-3</v>
      </c>
      <c r="W91" s="98" t="str">
        <f t="shared" si="70"/>
        <v>1-0.000239010812381297i</v>
      </c>
      <c r="X91" s="160">
        <f t="shared" si="81"/>
        <v>1.0000000285630839</v>
      </c>
      <c r="Y91" s="160">
        <f t="shared" si="82"/>
        <v>-2.3901080783003984E-4</v>
      </c>
      <c r="Z91" s="98" t="str">
        <f t="shared" si="71"/>
        <v>0.999999979491332+0.000502091419515344i</v>
      </c>
      <c r="AA91" s="160">
        <f t="shared" si="83"/>
        <v>1.0000001055392234</v>
      </c>
      <c r="AB91" s="160">
        <f t="shared" si="84"/>
        <v>5.0209138762086257E-4</v>
      </c>
      <c r="AC91" s="171" t="str">
        <f t="shared" si="85"/>
        <v>11.7778219292108-29.7238611580794i</v>
      </c>
      <c r="AD91" s="190">
        <f t="shared" si="86"/>
        <v>30.095465029558856</v>
      </c>
      <c r="AE91" s="169">
        <f t="shared" si="87"/>
        <v>-68.384483038326721</v>
      </c>
      <c r="AF91" s="98" t="str">
        <f t="shared" si="72"/>
        <v>-0.0000673063927557778</v>
      </c>
      <c r="AG91" s="98" t="str">
        <f t="shared" si="73"/>
        <v>3.39721533043044E-06i</v>
      </c>
      <c r="AH91" s="98">
        <f t="shared" si="88"/>
        <v>3.3972153304304399E-6</v>
      </c>
      <c r="AI91" s="98">
        <f t="shared" si="89"/>
        <v>1.5707963267948966</v>
      </c>
      <c r="AJ91" s="98" t="str">
        <f t="shared" si="74"/>
        <v>1+0.0034185098314369i</v>
      </c>
      <c r="AK91" s="98">
        <f t="shared" si="90"/>
        <v>1.000005843087663</v>
      </c>
      <c r="AL91" s="98">
        <f t="shared" si="91"/>
        <v>3.418496515056285E-3</v>
      </c>
      <c r="AM91" s="98" t="str">
        <f t="shared" si="75"/>
        <v>1+0.506140543866274i</v>
      </c>
      <c r="AN91" s="98">
        <f t="shared" si="92"/>
        <v>1.1207935805246423</v>
      </c>
      <c r="AO91" s="98">
        <f t="shared" si="93"/>
        <v>0.46854796842334107</v>
      </c>
      <c r="AP91" s="168" t="str">
        <f t="shared" si="94"/>
        <v>-9.95992539887955+19.8462725894879i</v>
      </c>
      <c r="AQ91" s="98">
        <f t="shared" si="95"/>
        <v>26.929126748061059</v>
      </c>
      <c r="AR91" s="169">
        <f t="shared" si="96"/>
        <v>116.64995566749347</v>
      </c>
      <c r="AS91" s="168" t="str">
        <f t="shared" si="97"/>
        <v>472.601623179108+529.79330421869i</v>
      </c>
      <c r="AT91" s="190">
        <f t="shared" si="98"/>
        <v>57.024591777619911</v>
      </c>
      <c r="AU91" s="169">
        <f t="shared" si="99"/>
        <v>48.26547262916673</v>
      </c>
      <c r="AV91" s="225"/>
      <c r="AX91">
        <f t="shared" si="100"/>
        <v>0</v>
      </c>
      <c r="AY91">
        <f t="shared" si="101"/>
        <v>0</v>
      </c>
    </row>
    <row r="92" spans="14:51" x14ac:dyDescent="0.25">
      <c r="N92" s="170">
        <v>74</v>
      </c>
      <c r="O92" s="199">
        <f t="shared" si="76"/>
        <v>54.95408738576247</v>
      </c>
      <c r="P92" s="189" t="str">
        <f t="shared" si="67"/>
        <v>87</v>
      </c>
      <c r="Q92" s="160" t="str">
        <f t="shared" si="68"/>
        <v>1+2.58965035823765i</v>
      </c>
      <c r="R92" s="160">
        <f t="shared" si="77"/>
        <v>2.776020348974479</v>
      </c>
      <c r="S92" s="160">
        <f t="shared" si="78"/>
        <v>1.2022841360797116</v>
      </c>
      <c r="T92" s="160" t="str">
        <f t="shared" si="69"/>
        <v>1+0.00172643357215843i</v>
      </c>
      <c r="U92" s="160">
        <f t="shared" si="79"/>
        <v>1.0000014902853291</v>
      </c>
      <c r="V92" s="160">
        <f t="shared" si="80"/>
        <v>1.7264318569078032E-3</v>
      </c>
      <c r="W92" s="98" t="str">
        <f t="shared" si="70"/>
        <v>1-0.000244578089389111i</v>
      </c>
      <c r="X92" s="160">
        <f t="shared" si="81"/>
        <v>1.0000000299092204</v>
      </c>
      <c r="Y92" s="160">
        <f t="shared" si="82"/>
        <v>-2.4457808451235107E-4</v>
      </c>
      <c r="Z92" s="98" t="str">
        <f t="shared" si="71"/>
        <v>0.999999978524788+0.000513786631074349i</v>
      </c>
      <c r="AA92" s="160">
        <f t="shared" si="83"/>
        <v>1.0000001105131331</v>
      </c>
      <c r="AB92" s="160">
        <f t="shared" si="84"/>
        <v>5.137865968987969E-4</v>
      </c>
      <c r="AC92" s="171" t="str">
        <f t="shared" si="85"/>
        <v>11.3177934967769-29.2249060335487i</v>
      </c>
      <c r="AD92" s="190">
        <f t="shared" si="86"/>
        <v>29.921944390907207</v>
      </c>
      <c r="AE92" s="169">
        <f t="shared" si="87"/>
        <v>-68.830340609458716</v>
      </c>
      <c r="AF92" s="98" t="str">
        <f t="shared" si="72"/>
        <v>-0.0000673063927557778</v>
      </c>
      <c r="AG92" s="98" t="str">
        <f t="shared" si="73"/>
        <v>3.47634664089821E-06i</v>
      </c>
      <c r="AH92" s="98">
        <f t="shared" si="88"/>
        <v>3.4763466408982101E-6</v>
      </c>
      <c r="AI92" s="98">
        <f t="shared" si="89"/>
        <v>1.5707963267948966</v>
      </c>
      <c r="AJ92" s="98" t="str">
        <f t="shared" si="74"/>
        <v>1+0.00349813715455224i</v>
      </c>
      <c r="AK92" s="98">
        <f t="shared" si="90"/>
        <v>1.0000061184630582</v>
      </c>
      <c r="AL92" s="98">
        <f t="shared" si="91"/>
        <v>3.4981228857980501E-3</v>
      </c>
      <c r="AM92" s="98" t="str">
        <f t="shared" si="75"/>
        <v>1+0.517930071647529i</v>
      </c>
      <c r="AN92" s="98">
        <f t="shared" si="92"/>
        <v>1.1261667545780307</v>
      </c>
      <c r="AO92" s="98">
        <f t="shared" si="93"/>
        <v>0.47788856011549974</v>
      </c>
      <c r="AP92" s="168" t="str">
        <f t="shared" si="94"/>
        <v>-9.95991991347713+19.396084364135i</v>
      </c>
      <c r="AQ92" s="98">
        <f t="shared" si="95"/>
        <v>26.770665708808284</v>
      </c>
      <c r="AR92" s="169">
        <f t="shared" si="96"/>
        <v>117.18056989462772</v>
      </c>
      <c r="AS92" s="168" t="str">
        <f t="shared" si="97"/>
        <v>454.124426135458+510.598601052383i</v>
      </c>
      <c r="AT92" s="190">
        <f t="shared" si="98"/>
        <v>56.692610099715488</v>
      </c>
      <c r="AU92" s="169">
        <f t="shared" si="99"/>
        <v>48.350229285169036</v>
      </c>
      <c r="AV92" s="225"/>
      <c r="AX92">
        <f t="shared" si="100"/>
        <v>0</v>
      </c>
      <c r="AY92">
        <f t="shared" si="101"/>
        <v>0</v>
      </c>
    </row>
    <row r="93" spans="14:51" x14ac:dyDescent="0.25">
      <c r="N93" s="170">
        <v>75</v>
      </c>
      <c r="O93" s="199">
        <f t="shared" si="76"/>
        <v>56.234132519034915</v>
      </c>
      <c r="P93" s="189" t="str">
        <f t="shared" si="67"/>
        <v>87</v>
      </c>
      <c r="Q93" s="160" t="str">
        <f t="shared" si="68"/>
        <v>1+2.64997106404193i</v>
      </c>
      <c r="R93" s="160">
        <f t="shared" si="77"/>
        <v>2.8323747351400237</v>
      </c>
      <c r="S93" s="160">
        <f t="shared" si="78"/>
        <v>1.2099559368768391</v>
      </c>
      <c r="T93" s="160" t="str">
        <f t="shared" si="69"/>
        <v>1+0.00176664737602795i</v>
      </c>
      <c r="U93" s="160">
        <f t="shared" si="79"/>
        <v>1.0000015605202579</v>
      </c>
      <c r="V93" s="160">
        <f t="shared" si="80"/>
        <v>1.7666455381039449E-3</v>
      </c>
      <c r="W93" s="98" t="str">
        <f t="shared" si="70"/>
        <v>1-0.000250275044937293i</v>
      </c>
      <c r="X93" s="160">
        <f t="shared" si="81"/>
        <v>1.0000000313187987</v>
      </c>
      <c r="Y93" s="160">
        <f t="shared" si="82"/>
        <v>-2.502750397117506E-4</v>
      </c>
      <c r="Z93" s="98" t="str">
        <f t="shared" si="71"/>
        <v>0.999999977512692+0.000525754259105918i</v>
      </c>
      <c r="AA93" s="160">
        <f t="shared" si="83"/>
        <v>1.000000115721456</v>
      </c>
      <c r="AB93" s="160">
        <f t="shared" si="84"/>
        <v>5.2575422248615452E-4</v>
      </c>
      <c r="AC93" s="171" t="str">
        <f t="shared" si="85"/>
        <v>10.8731863673578-28.7274455183079i</v>
      </c>
      <c r="AD93" s="190">
        <f t="shared" si="86"/>
        <v>29.747383637490348</v>
      </c>
      <c r="AE93" s="169">
        <f t="shared" si="87"/>
        <v>-69.268610448113847</v>
      </c>
      <c r="AF93" s="98" t="str">
        <f t="shared" si="72"/>
        <v>-0.0000673063927557778</v>
      </c>
      <c r="AG93" s="98" t="str">
        <f t="shared" si="73"/>
        <v>3.55732115636988E-06i</v>
      </c>
      <c r="AH93" s="98">
        <f t="shared" si="88"/>
        <v>3.5573211563698801E-6</v>
      </c>
      <c r="AI93" s="98">
        <f t="shared" si="89"/>
        <v>1.5707963267948966</v>
      </c>
      <c r="AJ93" s="98" t="str">
        <f t="shared" si="74"/>
        <v>1+0.00357961923629024i</v>
      </c>
      <c r="AK93" s="98">
        <f t="shared" si="90"/>
        <v>1.0000064068164147</v>
      </c>
      <c r="AL93" s="98">
        <f t="shared" si="91"/>
        <v>3.5796039470499543E-3</v>
      </c>
      <c r="AM93" s="98" t="str">
        <f t="shared" si="75"/>
        <v>1+0.529994212808385i</v>
      </c>
      <c r="AN93" s="98">
        <f t="shared" si="92"/>
        <v>1.1317658174774408</v>
      </c>
      <c r="AO93" s="98">
        <f t="shared" si="93"/>
        <v>0.48735406142768783</v>
      </c>
      <c r="AP93" s="168" t="str">
        <f t="shared" si="94"/>
        <v>-9.95991416956209+18.9561801976403i</v>
      </c>
      <c r="AQ93" s="98">
        <f t="shared" si="95"/>
        <v>26.613740612911062</v>
      </c>
      <c r="AR93" s="169">
        <f t="shared" si="96"/>
        <v>117.71823464987176</v>
      </c>
      <c r="AS93" s="168" t="str">
        <f t="shared" si="97"/>
        <v>436.266630894403+492.236971775278i</v>
      </c>
      <c r="AT93" s="190">
        <f t="shared" si="98"/>
        <v>56.361124250401417</v>
      </c>
      <c r="AU93" s="169">
        <f t="shared" si="99"/>
        <v>48.449624201757864</v>
      </c>
      <c r="AV93" s="225"/>
      <c r="AX93">
        <f t="shared" si="100"/>
        <v>0</v>
      </c>
      <c r="AY93">
        <f t="shared" si="101"/>
        <v>0</v>
      </c>
    </row>
    <row r="94" spans="14:51" x14ac:dyDescent="0.25">
      <c r="N94" s="170">
        <v>76</v>
      </c>
      <c r="O94" s="199">
        <f t="shared" si="76"/>
        <v>57.543993733715695</v>
      </c>
      <c r="P94" s="189" t="str">
        <f t="shared" si="67"/>
        <v>87</v>
      </c>
      <c r="Q94" s="160" t="str">
        <f t="shared" si="68"/>
        <v>1+2.71169681958088i</v>
      </c>
      <c r="R94" s="160">
        <f t="shared" si="77"/>
        <v>2.8902075429499972</v>
      </c>
      <c r="S94" s="160">
        <f t="shared" si="78"/>
        <v>1.2174962744287083</v>
      </c>
      <c r="T94" s="160" t="str">
        <f t="shared" si="69"/>
        <v>1+0.00180779787972059i</v>
      </c>
      <c r="U94" s="160">
        <f t="shared" si="79"/>
        <v>1.0000016340652518</v>
      </c>
      <c r="V94" s="160">
        <f t="shared" si="80"/>
        <v>1.807795910349711E-3</v>
      </c>
      <c r="W94" s="98" t="str">
        <f t="shared" si="70"/>
        <v>1-0.000256104699627083i</v>
      </c>
      <c r="X94" s="160">
        <f t="shared" si="81"/>
        <v>1.000000032794808</v>
      </c>
      <c r="Y94" s="160">
        <f t="shared" si="82"/>
        <v>-2.5610469402781346E-4</v>
      </c>
      <c r="Z94" s="98" t="str">
        <f t="shared" si="71"/>
        <v>0.999999976452898+0.000538000649004846i</v>
      </c>
      <c r="AA94" s="160">
        <f t="shared" si="83"/>
        <v>1.0000001211752401</v>
      </c>
      <c r="AB94" s="160">
        <f t="shared" si="84"/>
        <v>5.3800060976606269E-4</v>
      </c>
      <c r="AC94" s="171" t="str">
        <f t="shared" si="85"/>
        <v>10.4436858880333-28.2319186032994i</v>
      </c>
      <c r="AD94" s="190">
        <f t="shared" si="86"/>
        <v>29.571817875323191</v>
      </c>
      <c r="AE94" s="169">
        <f t="shared" si="87"/>
        <v>-69.699317904178727</v>
      </c>
      <c r="AF94" s="98" t="str">
        <f t="shared" si="72"/>
        <v>-0.0000673063927557778</v>
      </c>
      <c r="AG94" s="98" t="str">
        <f t="shared" si="73"/>
        <v>3.64018181060537E-06i</v>
      </c>
      <c r="AH94" s="98">
        <f t="shared" si="88"/>
        <v>3.64018181060537E-6</v>
      </c>
      <c r="AI94" s="98">
        <f t="shared" si="89"/>
        <v>1.5707963267948966</v>
      </c>
      <c r="AJ94" s="98" t="str">
        <f t="shared" si="74"/>
        <v>1+0.00366299927952919i</v>
      </c>
      <c r="AK94" s="98">
        <f t="shared" si="90"/>
        <v>1.0000067087593572</v>
      </c>
      <c r="AL94" s="98">
        <f t="shared" si="91"/>
        <v>3.6629828968189971E-3</v>
      </c>
      <c r="AM94" s="98" t="str">
        <f t="shared" si="75"/>
        <v>1+0.542339363916175i</v>
      </c>
      <c r="AN94" s="98">
        <f t="shared" si="92"/>
        <v>1.1375992201355456</v>
      </c>
      <c r="AO94" s="98">
        <f t="shared" si="93"/>
        <v>0.49694270568999815</v>
      </c>
      <c r="AP94" s="168" t="str">
        <f t="shared" si="94"/>
        <v>-9.95990815495171+18.5263268468627i</v>
      </c>
      <c r="AQ94" s="98">
        <f t="shared" si="95"/>
        <v>26.458392245955615</v>
      </c>
      <c r="AR94" s="169">
        <f t="shared" si="96"/>
        <v>118.26284623543226</v>
      </c>
      <c r="AS94" s="168" t="str">
        <f t="shared" si="97"/>
        <v>419.015599314771+474.670454574607i</v>
      </c>
      <c r="AT94" s="190">
        <f t="shared" si="98"/>
        <v>56.030210121278813</v>
      </c>
      <c r="AU94" s="169">
        <f t="shared" si="99"/>
        <v>48.563528331253565</v>
      </c>
      <c r="AV94" s="225"/>
      <c r="AX94">
        <f t="shared" si="100"/>
        <v>0</v>
      </c>
      <c r="AY94">
        <f t="shared" si="101"/>
        <v>0</v>
      </c>
    </row>
    <row r="95" spans="14:51" x14ac:dyDescent="0.25">
      <c r="N95" s="170">
        <v>77</v>
      </c>
      <c r="O95" s="199">
        <f t="shared" si="76"/>
        <v>58.884365535558949</v>
      </c>
      <c r="P95" s="189" t="str">
        <f t="shared" si="67"/>
        <v>87</v>
      </c>
      <c r="Q95" s="160" t="str">
        <f t="shared" si="68"/>
        <v>1+2.77486035266713i</v>
      </c>
      <c r="R95" s="160">
        <f t="shared" si="77"/>
        <v>2.9495508093274045</v>
      </c>
      <c r="S95" s="160">
        <f t="shared" si="78"/>
        <v>1.2249057159782193</v>
      </c>
      <c r="T95" s="160" t="str">
        <f t="shared" si="69"/>
        <v>1+0.00184990690177808i</v>
      </c>
      <c r="U95" s="160">
        <f t="shared" si="79"/>
        <v>1.0000017110763086</v>
      </c>
      <c r="V95" s="160">
        <f t="shared" si="80"/>
        <v>1.8499047915593589E-3</v>
      </c>
      <c r="W95" s="98" t="str">
        <f t="shared" si="70"/>
        <v>1-0.000262070144418562i</v>
      </c>
      <c r="X95" s="160">
        <f t="shared" si="81"/>
        <v>1.0000000343403797</v>
      </c>
      <c r="Y95" s="160">
        <f t="shared" si="82"/>
        <v>-2.6207013841883666E-4</v>
      </c>
      <c r="Z95" s="98" t="str">
        <f t="shared" si="71"/>
        <v>0.999999975343157+0.000550532293969157i</v>
      </c>
      <c r="AA95" s="160">
        <f t="shared" si="83"/>
        <v>1.0000001268860526</v>
      </c>
      <c r="AB95" s="160">
        <f t="shared" si="84"/>
        <v>5.5053225192404354E-4</v>
      </c>
      <c r="AC95" s="171" t="str">
        <f t="shared" si="85"/>
        <v>10.0289674797811-27.738738799046i</v>
      </c>
      <c r="AD95" s="190">
        <f t="shared" si="86"/>
        <v>29.395281475135899</v>
      </c>
      <c r="AE95" s="169">
        <f t="shared" si="87"/>
        <v>-70.12249477733387</v>
      </c>
      <c r="AF95" s="98" t="str">
        <f t="shared" si="72"/>
        <v>-0.0000673063927557778</v>
      </c>
      <c r="AG95" s="98" t="str">
        <f t="shared" si="73"/>
        <v>3.72497253742034E-06i</v>
      </c>
      <c r="AH95" s="98">
        <f t="shared" si="88"/>
        <v>3.7249725374203398E-6</v>
      </c>
      <c r="AI95" s="98">
        <f t="shared" si="89"/>
        <v>1.5707963267948966</v>
      </c>
      <c r="AJ95" s="98" t="str">
        <f t="shared" si="74"/>
        <v>1+0.00374832149347167i</v>
      </c>
      <c r="AK95" s="98">
        <f t="shared" si="90"/>
        <v>1.0000070249323343</v>
      </c>
      <c r="AL95" s="98">
        <f t="shared" si="91"/>
        <v>3.7483039390880869E-3</v>
      </c>
      <c r="AM95" s="98" t="str">
        <f t="shared" si="75"/>
        <v>1+0.554972070533424i</v>
      </c>
      <c r="AN95" s="98">
        <f t="shared" si="92"/>
        <v>1.1436756529157013</v>
      </c>
      <c r="AO95" s="98">
        <f t="shared" si="93"/>
        <v>0.50665252331963317</v>
      </c>
      <c r="AP95" s="168" t="str">
        <f t="shared" si="94"/>
        <v>-9.95990185688934+18.106296397727i</v>
      </c>
      <c r="AQ95" s="98">
        <f t="shared" si="95"/>
        <v>26.30466130149005</v>
      </c>
      <c r="AR95" s="169">
        <f t="shared" si="96"/>
        <v>118.81428926982647</v>
      </c>
      <c r="AS95" s="168" t="str">
        <f t="shared" si="97"/>
        <v>402.358294570102+457.862573824468i</v>
      </c>
      <c r="AT95" s="190">
        <f t="shared" si="98"/>
        <v>55.699942776625946</v>
      </c>
      <c r="AU95" s="169">
        <f t="shared" si="99"/>
        <v>48.691794492492605</v>
      </c>
      <c r="AV95" s="225"/>
      <c r="AX95">
        <f t="shared" si="100"/>
        <v>0</v>
      </c>
      <c r="AY95">
        <f t="shared" si="101"/>
        <v>0</v>
      </c>
    </row>
    <row r="96" spans="14:51" x14ac:dyDescent="0.25">
      <c r="N96" s="170">
        <v>78</v>
      </c>
      <c r="O96" s="199">
        <f t="shared" si="76"/>
        <v>60.255958607435822</v>
      </c>
      <c r="P96" s="189" t="str">
        <f t="shared" si="67"/>
        <v>87</v>
      </c>
      <c r="Q96" s="160" t="str">
        <f t="shared" si="68"/>
        <v>1+2.83949515344197i</v>
      </c>
      <c r="R96" s="160">
        <f t="shared" si="77"/>
        <v>3.0104372982044376</v>
      </c>
      <c r="S96" s="160">
        <f t="shared" si="78"/>
        <v>1.2321849349173386</v>
      </c>
      <c r="T96" s="160" t="str">
        <f t="shared" si="69"/>
        <v>1+0.00189299676896131i</v>
      </c>
      <c r="U96" s="160">
        <f t="shared" si="79"/>
        <v>1.0000017917167785</v>
      </c>
      <c r="V96" s="160">
        <f t="shared" si="80"/>
        <v>1.892994507821431E-3</v>
      </c>
      <c r="W96" s="98" t="str">
        <f t="shared" si="70"/>
        <v>1-0.000268174542269519i</v>
      </c>
      <c r="X96" s="160">
        <f t="shared" si="81"/>
        <v>1.0000000359587919</v>
      </c>
      <c r="Y96" s="160">
        <f t="shared" si="82"/>
        <v>-2.6817453584069743E-4</v>
      </c>
      <c r="Z96" s="98" t="str">
        <f t="shared" si="71"/>
        <v>0.999999974181116+0.000563355838442886i</v>
      </c>
      <c r="AA96" s="160">
        <f t="shared" si="83"/>
        <v>1.0000001328660078</v>
      </c>
      <c r="AB96" s="160">
        <f t="shared" si="84"/>
        <v>5.6335579339073536E-4</v>
      </c>
      <c r="AC96" s="171" t="str">
        <f t="shared" si="85"/>
        <v>9.62869825404697-27.2482945036144i</v>
      </c>
      <c r="AD96" s="190">
        <f t="shared" si="86"/>
        <v>29.217808051425141</v>
      </c>
      <c r="AE96" s="169">
        <f t="shared" si="87"/>
        <v>-70.538178932828004</v>
      </c>
      <c r="AF96" s="98" t="str">
        <f t="shared" si="72"/>
        <v>-0.0000673063927557778</v>
      </c>
      <c r="AG96" s="98" t="str">
        <f t="shared" si="73"/>
        <v>3.81173829398049E-06i</v>
      </c>
      <c r="AH96" s="98">
        <f t="shared" si="88"/>
        <v>3.8117382939804899E-6</v>
      </c>
      <c r="AI96" s="98">
        <f t="shared" si="89"/>
        <v>1.5707963267948966</v>
      </c>
      <c r="AJ96" s="98" t="str">
        <f t="shared" si="74"/>
        <v>1+0.00383563111708489i</v>
      </c>
      <c r="AK96" s="98">
        <f t="shared" si="90"/>
        <v>1.0000073560059777</v>
      </c>
      <c r="AL96" s="98">
        <f t="shared" si="91"/>
        <v>3.8356123072314616E-3</v>
      </c>
      <c r="AM96" s="98" t="str">
        <f t="shared" si="75"/>
        <v>1+0.567899030688393i</v>
      </c>
      <c r="AN96" s="98">
        <f t="shared" si="92"/>
        <v>1.1500040474088846</v>
      </c>
      <c r="AO96" s="98">
        <f t="shared" si="93"/>
        <v>0.51648133826050135</v>
      </c>
      <c r="AP96" s="168" t="str">
        <f t="shared" si="94"/>
        <v>-9.95989526201695+17.6958661443809i</v>
      </c>
      <c r="AQ96" s="98">
        <f t="shared" si="95"/>
        <v>26.15258828773608</v>
      </c>
      <c r="AR96" s="169">
        <f t="shared" si="96"/>
        <v>119.3724364825425</v>
      </c>
      <c r="AS96" s="168" t="str">
        <f t="shared" si="97"/>
        <v>386.281346078757+441.778314772841i</v>
      </c>
      <c r="AT96" s="190">
        <f t="shared" si="98"/>
        <v>55.370396339161225</v>
      </c>
      <c r="AU96" s="169">
        <f t="shared" si="99"/>
        <v>48.834257549714522</v>
      </c>
      <c r="AV96" s="225"/>
      <c r="AX96">
        <f t="shared" si="100"/>
        <v>0</v>
      </c>
      <c r="AY96">
        <f t="shared" si="101"/>
        <v>0</v>
      </c>
    </row>
    <row r="97" spans="14:51" x14ac:dyDescent="0.25">
      <c r="N97" s="170">
        <v>79</v>
      </c>
      <c r="O97" s="199">
        <f t="shared" si="76"/>
        <v>61.659500186148257</v>
      </c>
      <c r="P97" s="189" t="str">
        <f t="shared" si="67"/>
        <v>87</v>
      </c>
      <c r="Q97" s="160" t="str">
        <f t="shared" si="68"/>
        <v>1+2.90563549213234i</v>
      </c>
      <c r="R97" s="160">
        <f t="shared" si="77"/>
        <v>3.0729005211915252</v>
      </c>
      <c r="S97" s="160">
        <f t="shared" si="78"/>
        <v>1.2393347041961706</v>
      </c>
      <c r="T97" s="160" t="str">
        <f t="shared" si="69"/>
        <v>1+0.00193709032808822i</v>
      </c>
      <c r="U97" s="160">
        <f t="shared" si="79"/>
        <v>1.0000018761577096</v>
      </c>
      <c r="V97" s="160">
        <f t="shared" si="80"/>
        <v>1.9370879052334332E-3</v>
      </c>
      <c r="W97" s="98" t="str">
        <f t="shared" si="70"/>
        <v>1-0.000274421129812498i</v>
      </c>
      <c r="X97" s="160">
        <f t="shared" si="81"/>
        <v>1.0000000376534774</v>
      </c>
      <c r="Y97" s="160">
        <f t="shared" si="82"/>
        <v>-2.7442112292389161E-4</v>
      </c>
      <c r="Z97" s="98" t="str">
        <f t="shared" si="71"/>
        <v>0.99999997296431+0.000576478081639054i</v>
      </c>
      <c r="AA97" s="160">
        <f t="shared" si="83"/>
        <v>1.00000013912779</v>
      </c>
      <c r="AB97" s="160">
        <f t="shared" si="84"/>
        <v>5.764780333648049E-4</v>
      </c>
      <c r="AC97" s="171" t="str">
        <f t="shared" si="85"/>
        <v>9.24253854145963-26.7609494531849i</v>
      </c>
      <c r="AD97" s="190">
        <f t="shared" si="86"/>
        <v>29.03943044512204</v>
      </c>
      <c r="AE97" s="169">
        <f t="shared" si="87"/>
        <v>-70.946413923465769</v>
      </c>
      <c r="AF97" s="98" t="str">
        <f t="shared" si="72"/>
        <v>-0.0000673063927557778</v>
      </c>
      <c r="AG97" s="98" t="str">
        <f t="shared" si="73"/>
        <v>3.90052508463844E-06i</v>
      </c>
      <c r="AH97" s="98">
        <f t="shared" si="88"/>
        <v>3.9005250846384402E-6</v>
      </c>
      <c r="AI97" s="98">
        <f t="shared" si="89"/>
        <v>1.5707963267948966</v>
      </c>
      <c r="AJ97" s="98" t="str">
        <f t="shared" si="74"/>
        <v>1+0.00392497444308698i</v>
      </c>
      <c r="AK97" s="98">
        <f t="shared" si="90"/>
        <v>1.0000077026825238</v>
      </c>
      <c r="AL97" s="98">
        <f t="shared" si="91"/>
        <v>3.9249542879742872E-3</v>
      </c>
      <c r="AM97" s="98" t="str">
        <f t="shared" si="75"/>
        <v>1+0.581127098426466i</v>
      </c>
      <c r="AN97" s="98">
        <f t="shared" si="92"/>
        <v>1.1565935779371954</v>
      </c>
      <c r="AO97" s="98">
        <f t="shared" si="93"/>
        <v>0.52642676503816266</v>
      </c>
      <c r="AP97" s="168" t="str">
        <f t="shared" si="94"/>
        <v>-9.9598883563472+17.2948184711121i</v>
      </c>
      <c r="AQ97" s="98">
        <f t="shared" si="95"/>
        <v>26.002213430184437</v>
      </c>
      <c r="AR97" s="169">
        <f t="shared" si="96"/>
        <v>119.93714854392908</v>
      </c>
      <c r="AS97" s="168" t="str">
        <f t="shared" si="97"/>
        <v>370.771110905265+426.384095150374i</v>
      </c>
      <c r="AT97" s="190">
        <f t="shared" si="98"/>
        <v>55.041643875306477</v>
      </c>
      <c r="AU97" s="169">
        <f t="shared" si="99"/>
        <v>48.990734620463378</v>
      </c>
      <c r="AV97" s="225"/>
      <c r="AX97">
        <f t="shared" si="100"/>
        <v>0</v>
      </c>
      <c r="AY97">
        <f t="shared" si="101"/>
        <v>0</v>
      </c>
    </row>
    <row r="98" spans="14:51" x14ac:dyDescent="0.25">
      <c r="N98" s="170">
        <v>80</v>
      </c>
      <c r="O98" s="199">
        <f t="shared" si="76"/>
        <v>63.095734448019364</v>
      </c>
      <c r="P98" s="189" t="str">
        <f t="shared" si="67"/>
        <v>87</v>
      </c>
      <c r="Q98" s="160" t="str">
        <f t="shared" si="68"/>
        <v>1+2.97331643722126i</v>
      </c>
      <c r="R98" s="160">
        <f t="shared" si="77"/>
        <v>3.1369747585612044</v>
      </c>
      <c r="S98" s="160">
        <f t="shared" si="78"/>
        <v>1.2463558898611216</v>
      </c>
      <c r="T98" s="160" t="str">
        <f t="shared" si="69"/>
        <v>1+0.0019822109581475i</v>
      </c>
      <c r="U98" s="160">
        <f t="shared" si="79"/>
        <v>1.0000019645782117</v>
      </c>
      <c r="V98" s="160">
        <f t="shared" si="80"/>
        <v>1.9822083620120974E-3</v>
      </c>
      <c r="W98" s="98" t="str">
        <f t="shared" si="70"/>
        <v>1-0.000280813219070896i</v>
      </c>
      <c r="X98" s="160">
        <f t="shared" si="81"/>
        <v>1.0000000394280311</v>
      </c>
      <c r="Y98" s="160">
        <f t="shared" si="82"/>
        <v>-2.8081321168962127E-4</v>
      </c>
      <c r="Z98" s="98" t="str">
        <f t="shared" si="71"/>
        <v>0.999999971690157+0.000589905981144696i</v>
      </c>
      <c r="AA98" s="160">
        <f t="shared" si="83"/>
        <v>1.0000001456846799</v>
      </c>
      <c r="AB98" s="160">
        <f t="shared" si="84"/>
        <v>5.8990592941790673E-4</v>
      </c>
      <c r="AC98" s="171" t="str">
        <f t="shared" si="85"/>
        <v>8.87014333120006-26.2770432451587i</v>
      </c>
      <c r="AD98" s="190">
        <f t="shared" si="86"/>
        <v>28.860180709673632</v>
      </c>
      <c r="AE98" s="169">
        <f t="shared" si="87"/>
        <v>-71.347248618982206</v>
      </c>
      <c r="AF98" s="98" t="str">
        <f t="shared" si="72"/>
        <v>-0.0000673063927557778</v>
      </c>
      <c r="AG98" s="98" t="str">
        <f t="shared" si="73"/>
        <v>3.99137998532581E-06i</v>
      </c>
      <c r="AH98" s="98">
        <f t="shared" si="88"/>
        <v>3.9913799853258097E-6</v>
      </c>
      <c r="AI98" s="98">
        <f t="shared" si="89"/>
        <v>1.5707963267948966</v>
      </c>
      <c r="AJ98" s="98" t="str">
        <f t="shared" si="74"/>
        <v>1+0.00401639884249195i</v>
      </c>
      <c r="AK98" s="98">
        <f t="shared" si="90"/>
        <v>1.0000080656973034</v>
      </c>
      <c r="AL98" s="98">
        <f t="shared" si="91"/>
        <v>4.0163772459090091E-3</v>
      </c>
      <c r="AM98" s="98" t="str">
        <f t="shared" si="75"/>
        <v>1+0.59466328744425i</v>
      </c>
      <c r="AN98" s="98">
        <f t="shared" si="92"/>
        <v>1.1634536627790566</v>
      </c>
      <c r="AO98" s="98">
        <f t="shared" si="93"/>
        <v>0.53648620648407519</v>
      </c>
      <c r="AP98" s="168" t="str">
        <f t="shared" si="94"/>
        <v>-9.95988112523347+16.9029407369653i</v>
      </c>
      <c r="AQ98" s="98">
        <f t="shared" si="95"/>
        <v>25.853576570387538</v>
      </c>
      <c r="AR98" s="169">
        <f t="shared" si="96"/>
        <v>120.50827393339853</v>
      </c>
      <c r="AS98" s="168" t="str">
        <f t="shared" si="97"/>
        <v>355.813731573057+411.647734100062i</v>
      </c>
      <c r="AT98" s="190">
        <f t="shared" si="98"/>
        <v>54.713757280061166</v>
      </c>
      <c r="AU98" s="169">
        <f t="shared" si="99"/>
        <v>49.1610253144163</v>
      </c>
      <c r="AV98" s="225"/>
      <c r="AX98">
        <f t="shared" si="100"/>
        <v>0</v>
      </c>
      <c r="AY98">
        <f t="shared" si="101"/>
        <v>0</v>
      </c>
    </row>
    <row r="99" spans="14:51" x14ac:dyDescent="0.25">
      <c r="N99" s="170">
        <v>81</v>
      </c>
      <c r="O99" s="199">
        <f t="shared" si="76"/>
        <v>64.565422903465588</v>
      </c>
      <c r="P99" s="189" t="str">
        <f t="shared" si="67"/>
        <v>87</v>
      </c>
      <c r="Q99" s="160" t="str">
        <f t="shared" si="68"/>
        <v>1+3.04257387404169i</v>
      </c>
      <c r="R99" s="160">
        <f t="shared" si="77"/>
        <v>3.2026950805534171</v>
      </c>
      <c r="S99" s="160">
        <f t="shared" si="78"/>
        <v>1.2532494447401215</v>
      </c>
      <c r="T99" s="160" t="str">
        <f t="shared" si="69"/>
        <v>1+0.00202838258269446i</v>
      </c>
      <c r="U99" s="160">
        <f t="shared" si="79"/>
        <v>1.000002057165835</v>
      </c>
      <c r="V99" s="160">
        <f t="shared" si="80"/>
        <v>2.0283798008855665E-3</v>
      </c>
      <c r="W99" s="98" t="str">
        <f t="shared" si="70"/>
        <v>1-0.000287354199215048i</v>
      </c>
      <c r="X99" s="160">
        <f t="shared" si="81"/>
        <v>1.0000000412862171</v>
      </c>
      <c r="Y99" s="160">
        <f t="shared" si="82"/>
        <v>-2.8735419130586966E-4</v>
      </c>
      <c r="Z99" s="98" t="str">
        <f t="shared" si="71"/>
        <v>0.999999970355955+0.00060364665660987i</v>
      </c>
      <c r="AA99" s="160">
        <f t="shared" si="83"/>
        <v>1.0000001525505868</v>
      </c>
      <c r="AB99" s="160">
        <f t="shared" si="84"/>
        <v>6.0364660118361732E-4</v>
      </c>
      <c r="AC99" s="171" t="str">
        <f t="shared" si="85"/>
        <v>8.51116362039809-25.7968919241707i</v>
      </c>
      <c r="AD99" s="190">
        <f t="shared" si="86"/>
        <v>28.680090100330954</v>
      </c>
      <c r="AE99" s="169">
        <f t="shared" si="87"/>
        <v>-71.740736843834981</v>
      </c>
      <c r="AF99" s="98" t="str">
        <f t="shared" si="72"/>
        <v>-0.0000673063927557778</v>
      </c>
      <c r="AG99" s="98" t="str">
        <f t="shared" si="73"/>
        <v>4.08435116851356E-06i</v>
      </c>
      <c r="AH99" s="98">
        <f t="shared" si="88"/>
        <v>4.0843511685135596E-6</v>
      </c>
      <c r="AI99" s="98">
        <f t="shared" si="89"/>
        <v>1.5707963267948966</v>
      </c>
      <c r="AJ99" s="98" t="str">
        <f t="shared" si="74"/>
        <v>1+0.00410995278972655i</v>
      </c>
      <c r="AK99" s="98">
        <f t="shared" si="90"/>
        <v>1.0000084458203009</v>
      </c>
      <c r="AL99" s="98">
        <f t="shared" si="91"/>
        <v>4.1099296485815574E-3</v>
      </c>
      <c r="AM99" s="98" t="str">
        <f t="shared" si="75"/>
        <v>1+0.608514774808336i</v>
      </c>
      <c r="AN99" s="98">
        <f t="shared" si="92"/>
        <v>1.1705939651134547</v>
      </c>
      <c r="AO99" s="98">
        <f t="shared" si="93"/>
        <v>0.54665685218140125</v>
      </c>
      <c r="AP99" s="168" t="str">
        <f t="shared" si="94"/>
        <v>-9.95987355333913+16.5200251629959i</v>
      </c>
      <c r="AQ99" s="98">
        <f t="shared" si="95"/>
        <v>25.706717061314258</v>
      </c>
      <c r="AR99" s="169">
        <f t="shared" si="96"/>
        <v>121.08564884894179</v>
      </c>
      <c r="AS99" s="168" t="str">
        <f t="shared" si="97"/>
        <v>341.395190263441+397.538418809247i</v>
      </c>
      <c r="AT99" s="190">
        <f t="shared" si="98"/>
        <v>54.386807161645208</v>
      </c>
      <c r="AU99" s="169">
        <f t="shared" si="99"/>
        <v>49.34491200510675</v>
      </c>
      <c r="AV99" s="225"/>
      <c r="AX99">
        <f t="shared" si="100"/>
        <v>0</v>
      </c>
      <c r="AY99">
        <f t="shared" si="101"/>
        <v>0</v>
      </c>
    </row>
    <row r="100" spans="14:51" x14ac:dyDescent="0.25">
      <c r="N100" s="170">
        <v>82</v>
      </c>
      <c r="O100" s="199">
        <f t="shared" si="76"/>
        <v>66.069344800759623</v>
      </c>
      <c r="P100" s="189" t="str">
        <f t="shared" si="67"/>
        <v>87</v>
      </c>
      <c r="Q100" s="160" t="str">
        <f t="shared" si="68"/>
        <v>1+3.11344452380337i</v>
      </c>
      <c r="R100" s="160">
        <f t="shared" si="77"/>
        <v>3.2700973690092461</v>
      </c>
      <c r="S100" s="160">
        <f t="shared" si="78"/>
        <v>1.2600164022902978</v>
      </c>
      <c r="T100" s="160" t="str">
        <f t="shared" si="69"/>
        <v>1+0.00207562968253558i</v>
      </c>
      <c r="U100" s="160">
        <f t="shared" si="79"/>
        <v>1.0000021541169695</v>
      </c>
      <c r="V100" s="160">
        <f t="shared" si="80"/>
        <v>2.0756267017739936E-3</v>
      </c>
      <c r="W100" s="98" t="str">
        <f t="shared" si="70"/>
        <v>1-0.000294047538359207i</v>
      </c>
      <c r="X100" s="160">
        <f t="shared" si="81"/>
        <v>1.0000000432319764</v>
      </c>
      <c r="Y100" s="160">
        <f t="shared" si="82"/>
        <v>-2.9404752988436975E-4</v>
      </c>
      <c r="Z100" s="98" t="str">
        <f t="shared" si="71"/>
        <v>0.999999968958874+0.000617707393522587i</v>
      </c>
      <c r="AA100" s="160">
        <f t="shared" si="83"/>
        <v>1.0000001597400738</v>
      </c>
      <c r="AB100" s="160">
        <f t="shared" si="84"/>
        <v>6.1770733413228792E-4</v>
      </c>
      <c r="AC100" s="171" t="str">
        <f t="shared" si="85"/>
        <v>8.16524767371038-25.3207886218655i</v>
      </c>
      <c r="AD100" s="190">
        <f t="shared" si="86"/>
        <v>28.499189066437275</v>
      </c>
      <c r="AE100" s="169">
        <f t="shared" si="87"/>
        <v>-72.126937024294506</v>
      </c>
      <c r="AF100" s="98" t="str">
        <f t="shared" si="72"/>
        <v>-0.0000673063927557778</v>
      </c>
      <c r="AG100" s="98" t="str">
        <f t="shared" si="73"/>
        <v>4.17948792875363E-06i</v>
      </c>
      <c r="AH100" s="98">
        <f t="shared" si="88"/>
        <v>4.1794879287536304E-6</v>
      </c>
      <c r="AI100" s="98">
        <f t="shared" si="89"/>
        <v>1.5707963267948966</v>
      </c>
      <c r="AJ100" s="98" t="str">
        <f t="shared" si="74"/>
        <v>1+0.00420568588833191i</v>
      </c>
      <c r="AK100" s="98">
        <f t="shared" si="90"/>
        <v>1.0000088438577888</v>
      </c>
      <c r="AL100" s="98">
        <f t="shared" si="91"/>
        <v>4.2056610921601479E-3</v>
      </c>
      <c r="AM100" s="98" t="str">
        <f t="shared" si="75"/>
        <v>1+0.622688904760672i</v>
      </c>
      <c r="AN100" s="98">
        <f t="shared" si="92"/>
        <v>1.1780243936829344</v>
      </c>
      <c r="AO100" s="98">
        <f t="shared" si="93"/>
        <v>0.55693567768217267</v>
      </c>
      <c r="AP100" s="168" t="str">
        <f t="shared" si="94"/>
        <v>-9.95986562460474+16.1458687221022i</v>
      </c>
      <c r="AQ100" s="98">
        <f t="shared" si="95"/>
        <v>25.561673659686019</v>
      </c>
      <c r="AR100" s="169">
        <f t="shared" si="96"/>
        <v>121.66909716080379</v>
      </c>
      <c r="AS100" s="168" t="str">
        <f t="shared" si="97"/>
        <v>327.501359406968+384.026669205979i</v>
      </c>
      <c r="AT100" s="190">
        <f t="shared" si="98"/>
        <v>54.06086272612329</v>
      </c>
      <c r="AU100" s="169">
        <f t="shared" si="99"/>
        <v>49.542160136509224</v>
      </c>
      <c r="AV100" s="225"/>
      <c r="AX100">
        <f t="shared" si="100"/>
        <v>0</v>
      </c>
      <c r="AY100">
        <f t="shared" si="101"/>
        <v>0</v>
      </c>
    </row>
    <row r="101" spans="14:51" x14ac:dyDescent="0.25">
      <c r="N101" s="170">
        <v>83</v>
      </c>
      <c r="O101" s="199">
        <f t="shared" si="76"/>
        <v>67.60829753919819</v>
      </c>
      <c r="P101" s="189" t="str">
        <f t="shared" si="67"/>
        <v>87</v>
      </c>
      <c r="Q101" s="160" t="str">
        <f t="shared" si="68"/>
        <v>1+3.18596596306288i</v>
      </c>
      <c r="R101" s="160">
        <f t="shared" si="77"/>
        <v>3.3392183393415866</v>
      </c>
      <c r="S101" s="160">
        <f t="shared" si="78"/>
        <v>1.2666578706212053</v>
      </c>
      <c r="T101" s="160" t="str">
        <f t="shared" si="69"/>
        <v>1+0.00212397730870858i</v>
      </c>
      <c r="U101" s="160">
        <f t="shared" si="79"/>
        <v>1.0000022556372601</v>
      </c>
      <c r="V101" s="160">
        <f t="shared" si="80"/>
        <v>2.123974114765385E-3</v>
      </c>
      <c r="W101" s="98" t="str">
        <f t="shared" si="70"/>
        <v>1-0.000300896785400383i</v>
      </c>
      <c r="X101" s="160">
        <f t="shared" si="81"/>
        <v>1.0000000452694366</v>
      </c>
      <c r="Y101" s="160">
        <f t="shared" si="82"/>
        <v>-3.0089677631943131E-4</v>
      </c>
      <c r="Z101" s="98" t="str">
        <f t="shared" si="71"/>
        <v>0.999999967495951+0.000632095647071674i</v>
      </c>
      <c r="AA101" s="160">
        <f t="shared" si="83"/>
        <v>1.0000001672683911</v>
      </c>
      <c r="AB101" s="160">
        <f t="shared" si="84"/>
        <v>6.3209558343382236E-4</v>
      </c>
      <c r="AC101" s="171" t="str">
        <f t="shared" si="85"/>
        <v>7.83204219391533-24.8490042418181i</v>
      </c>
      <c r="AD101" s="190">
        <f t="shared" si="86"/>
        <v>28.317507246510729</v>
      </c>
      <c r="AE101" s="169">
        <f t="shared" si="87"/>
        <v>-72.505911845583654</v>
      </c>
      <c r="AF101" s="98" t="str">
        <f t="shared" si="72"/>
        <v>-0.0000673063927557778</v>
      </c>
      <c r="AG101" s="98" t="str">
        <f t="shared" si="73"/>
        <v>4.27684070881559E-06i</v>
      </c>
      <c r="AH101" s="98">
        <f t="shared" si="88"/>
        <v>4.2768407088155904E-6</v>
      </c>
      <c r="AI101" s="98">
        <f t="shared" si="89"/>
        <v>1.5707963267948966</v>
      </c>
      <c r="AJ101" s="98" t="str">
        <f t="shared" si="74"/>
        <v>1+0.00430364889726411i</v>
      </c>
      <c r="AK101" s="98">
        <f t="shared" si="90"/>
        <v>1.0000092606540356</v>
      </c>
      <c r="AL101" s="98">
        <f t="shared" si="91"/>
        <v>4.3036223277006609E-3</v>
      </c>
      <c r="AM101" s="98" t="str">
        <f t="shared" si="75"/>
        <v>1+0.637193192612574i</v>
      </c>
      <c r="AN101" s="98">
        <f t="shared" si="92"/>
        <v>1.1857551031776354</v>
      </c>
      <c r="AO101" s="98">
        <f t="shared" si="93"/>
        <v>0.56731944454247152</v>
      </c>
      <c r="AP101" s="168" t="str">
        <f t="shared" si="94"/>
        <v>-9.95985732221413+15.7802730313771i</v>
      </c>
      <c r="AQ101" s="98">
        <f t="shared" si="95"/>
        <v>25.418484415765189</v>
      </c>
      <c r="AR101" s="169">
        <f t="shared" si="96"/>
        <v>122.25843041199417</v>
      </c>
      <c r="AS101" s="168" t="str">
        <f t="shared" si="97"/>
        <v>314.11804870078+371.084301060852i</v>
      </c>
      <c r="AT101" s="190">
        <f t="shared" si="98"/>
        <v>53.735991662275921</v>
      </c>
      <c r="AU101" s="169">
        <f t="shared" si="99"/>
        <v>49.752518566410551</v>
      </c>
      <c r="AV101" s="225"/>
      <c r="AX101">
        <f t="shared" si="100"/>
        <v>0</v>
      </c>
      <c r="AY101">
        <f t="shared" si="101"/>
        <v>0</v>
      </c>
    </row>
    <row r="102" spans="14:51" x14ac:dyDescent="0.25">
      <c r="N102" s="170">
        <v>84</v>
      </c>
      <c r="O102" s="199">
        <f t="shared" si="76"/>
        <v>69.183097091893657</v>
      </c>
      <c r="P102" s="189" t="str">
        <f t="shared" si="67"/>
        <v>87</v>
      </c>
      <c r="Q102" s="160" t="str">
        <f t="shared" si="68"/>
        <v>1+3.26017664364725i</v>
      </c>
      <c r="R102" s="160">
        <f t="shared" si="77"/>
        <v>3.4100955628520224</v>
      </c>
      <c r="S102" s="160">
        <f t="shared" si="78"/>
        <v>1.2731750267044784</v>
      </c>
      <c r="T102" s="160" t="str">
        <f t="shared" si="69"/>
        <v>1+0.00217345109576483i</v>
      </c>
      <c r="U102" s="160">
        <f t="shared" si="79"/>
        <v>1.0000023619420435</v>
      </c>
      <c r="V102" s="160">
        <f t="shared" si="80"/>
        <v>2.1734476733934736E-3</v>
      </c>
      <c r="W102" s="98" t="str">
        <f t="shared" si="70"/>
        <v>1-0.000307905571900018i</v>
      </c>
      <c r="X102" s="160">
        <f t="shared" si="81"/>
        <v>1.0000000474029194</v>
      </c>
      <c r="Y102" s="160">
        <f t="shared" si="82"/>
        <v>-3.0790556216960294E-4</v>
      </c>
      <c r="Z102" s="98" t="str">
        <f t="shared" si="71"/>
        <v>0.999999965964082+0.000646819046099612i</v>
      </c>
      <c r="AA102" s="160">
        <f t="shared" si="83"/>
        <v>1.0000001751515064</v>
      </c>
      <c r="AB102" s="160">
        <f t="shared" si="84"/>
        <v>6.4681897791042621E-4</v>
      </c>
      <c r="AC102" s="171" t="str">
        <f t="shared" si="85"/>
        <v>7.51119340495953-24.3817881815262i</v>
      </c>
      <c r="AD102" s="190">
        <f t="shared" si="86"/>
        <v>28.135073465917806</v>
      </c>
      <c r="AE102" s="169">
        <f t="shared" si="87"/>
        <v>-72.877727919688638</v>
      </c>
      <c r="AF102" s="98" t="str">
        <f t="shared" si="72"/>
        <v>-0.0000673063927557778</v>
      </c>
      <c r="AG102" s="98" t="str">
        <f t="shared" si="73"/>
        <v>4.37646112643205E-06i</v>
      </c>
      <c r="AH102" s="98">
        <f t="shared" si="88"/>
        <v>4.3764611264320497E-6</v>
      </c>
      <c r="AI102" s="98">
        <f t="shared" si="89"/>
        <v>1.5707963267948966</v>
      </c>
      <c r="AJ102" s="98" t="str">
        <f t="shared" si="74"/>
        <v>1+0.00440389375780715i</v>
      </c>
      <c r="AK102" s="98">
        <f t="shared" si="90"/>
        <v>1.0000096970930983</v>
      </c>
      <c r="AL102" s="98">
        <f t="shared" si="91"/>
        <v>4.4038652880218927E-3</v>
      </c>
      <c r="AM102" s="98" t="str">
        <f t="shared" si="75"/>
        <v>1+0.652035328729447i</v>
      </c>
      <c r="AN102" s="98">
        <f t="shared" si="92"/>
        <v>1.1937964943453796</v>
      </c>
      <c r="AO102" s="98">
        <f t="shared" si="93"/>
        <v>0.57780470121836391</v>
      </c>
      <c r="AP102" s="168" t="str">
        <f t="shared" si="94"/>
        <v>-9.95984862855874+15.423044246921i</v>
      </c>
      <c r="AQ102" s="98">
        <f t="shared" si="95"/>
        <v>25.277186561117301</v>
      </c>
      <c r="AR102" s="169">
        <f t="shared" si="96"/>
        <v>122.853447868082</v>
      </c>
      <c r="AS102" s="168" t="str">
        <f t="shared" si="97"/>
        <v>301.231048609508+358.684387813455i</v>
      </c>
      <c r="AT102" s="190">
        <f t="shared" si="98"/>
        <v>53.412260027035089</v>
      </c>
      <c r="AU102" s="169">
        <f t="shared" si="99"/>
        <v>49.975719948393383</v>
      </c>
      <c r="AV102" s="225"/>
      <c r="AX102">
        <f t="shared" si="100"/>
        <v>0</v>
      </c>
      <c r="AY102">
        <f t="shared" si="101"/>
        <v>0</v>
      </c>
    </row>
    <row r="103" spans="14:51" x14ac:dyDescent="0.25">
      <c r="N103" s="170">
        <v>85</v>
      </c>
      <c r="O103" s="199">
        <f t="shared" si="76"/>
        <v>70.794578438413865</v>
      </c>
      <c r="P103" s="189" t="str">
        <f t="shared" si="67"/>
        <v>87</v>
      </c>
      <c r="Q103" s="160" t="str">
        <f t="shared" si="68"/>
        <v>1+3.33611591304162i</v>
      </c>
      <c r="R103" s="160">
        <f t="shared" si="77"/>
        <v>3.4827674894040119</v>
      </c>
      <c r="S103" s="160">
        <f t="shared" si="78"/>
        <v>1.2795691107787133</v>
      </c>
      <c r="T103" s="160" t="str">
        <f t="shared" si="69"/>
        <v>1+0.00222407727536108i</v>
      </c>
      <c r="U103" s="160">
        <f t="shared" si="79"/>
        <v>1.0000024732568049</v>
      </c>
      <c r="V103" s="160">
        <f t="shared" si="80"/>
        <v>2.2240736082245914E-3</v>
      </c>
      <c r="W103" s="98" t="str">
        <f t="shared" si="70"/>
        <v>1-0.000315077614009486i</v>
      </c>
      <c r="X103" s="160">
        <f t="shared" si="81"/>
        <v>1.0000000496369501</v>
      </c>
      <c r="Y103" s="160">
        <f t="shared" si="82"/>
        <v>-3.1507760358315842E-4</v>
      </c>
      <c r="Z103" s="98" t="str">
        <f t="shared" si="71"/>
        <v>0.999999964360019+0.000661885397147456i</v>
      </c>
      <c r="AA103" s="160">
        <f t="shared" si="83"/>
        <v>1.0000001834061423</v>
      </c>
      <c r="AB103" s="160">
        <f t="shared" si="84"/>
        <v>6.6188532408142757E-4</v>
      </c>
      <c r="AC103" s="171" t="str">
        <f t="shared" si="85"/>
        <v>7.20234804940477-23.9193690839681i</v>
      </c>
      <c r="AD103" s="190">
        <f t="shared" si="86"/>
        <v>27.951915736939018</v>
      </c>
      <c r="AE103" s="169">
        <f t="shared" si="87"/>
        <v>-73.242455464346193</v>
      </c>
      <c r="AF103" s="98" t="str">
        <f t="shared" si="72"/>
        <v>-0.0000673063927557778</v>
      </c>
      <c r="AG103" s="98" t="str">
        <f t="shared" si="73"/>
        <v>4.47840200166706E-06i</v>
      </c>
      <c r="AH103" s="98">
        <f t="shared" si="88"/>
        <v>4.4784020016670598E-6</v>
      </c>
      <c r="AI103" s="98">
        <f t="shared" si="89"/>
        <v>1.5707963267948966</v>
      </c>
      <c r="AJ103" s="98" t="str">
        <f t="shared" si="74"/>
        <v>1+0.00450647362111302i</v>
      </c>
      <c r="AK103" s="98">
        <f t="shared" si="90"/>
        <v>1.000010154100696</v>
      </c>
      <c r="AL103" s="98">
        <f t="shared" si="91"/>
        <v>4.5064431152052305E-3</v>
      </c>
      <c r="AM103" s="98" t="str">
        <f t="shared" si="75"/>
        <v>1+0.667223182608322i</v>
      </c>
      <c r="AN103" s="98">
        <f t="shared" si="92"/>
        <v>1.2021592138356625</v>
      </c>
      <c r="AO103" s="98">
        <f t="shared" si="93"/>
        <v>0.58838778486064058</v>
      </c>
      <c r="AP103" s="168" t="str">
        <f t="shared" si="94"/>
        <v>-9.95983952520024+15.0739929610632i</v>
      </c>
      <c r="AQ103" s="98">
        <f t="shared" si="95"/>
        <v>25.137816394919362</v>
      </c>
      <c r="AR103" s="169">
        <f t="shared" si="96"/>
        <v>123.45393661844908</v>
      </c>
      <c r="AS103" s="168" t="str">
        <f t="shared" si="97"/>
        <v>288.826170428097+346.801221420213i</v>
      </c>
      <c r="AT103" s="190">
        <f t="shared" si="98"/>
        <v>53.089732131858369</v>
      </c>
      <c r="AU103" s="169">
        <f t="shared" si="99"/>
        <v>50.21148115410292</v>
      </c>
      <c r="AV103" s="225"/>
      <c r="AX103">
        <f t="shared" si="100"/>
        <v>0</v>
      </c>
      <c r="AY103">
        <f t="shared" si="101"/>
        <v>0</v>
      </c>
    </row>
    <row r="104" spans="14:51" x14ac:dyDescent="0.25">
      <c r="N104" s="170">
        <v>86</v>
      </c>
      <c r="O104" s="199">
        <f t="shared" si="76"/>
        <v>72.443596007499011</v>
      </c>
      <c r="P104" s="189" t="str">
        <f t="shared" si="67"/>
        <v>87</v>
      </c>
      <c r="Q104" s="160" t="str">
        <f t="shared" si="68"/>
        <v>1+3.41382403525179i</v>
      </c>
      <c r="R104" s="160">
        <f t="shared" si="77"/>
        <v>3.557273470463413</v>
      </c>
      <c r="S104" s="160">
        <f t="shared" si="78"/>
        <v>1.285841420956477</v>
      </c>
      <c r="T104" s="160" t="str">
        <f t="shared" si="69"/>
        <v>1+0.00227588269016786i</v>
      </c>
      <c r="U104" s="160">
        <f t="shared" si="79"/>
        <v>1.0000025898176561</v>
      </c>
      <c r="V104" s="160">
        <f t="shared" si="80"/>
        <v>2.2758787607608673E-3</v>
      </c>
      <c r="W104" s="98" t="str">
        <f t="shared" si="70"/>
        <v>1-0.000322416714440447i</v>
      </c>
      <c r="X104" s="160">
        <f t="shared" si="81"/>
        <v>1.0000000519762675</v>
      </c>
      <c r="Y104" s="160">
        <f t="shared" si="82"/>
        <v>-3.2241670326843585E-4</v>
      </c>
      <c r="Z104" s="98" t="str">
        <f t="shared" si="71"/>
        <v>0.999999962680358+0.000677302688593954i</v>
      </c>
      <c r="AA104" s="160">
        <f t="shared" si="83"/>
        <v>1.0000001920498061</v>
      </c>
      <c r="AB104" s="160">
        <f t="shared" si="84"/>
        <v>6.7730261030229499E-4</v>
      </c>
      <c r="AC104" s="171" t="str">
        <f t="shared" si="85"/>
        <v>6.9051543026595-23.4619556117867i</v>
      </c>
      <c r="AD104" s="190">
        <f t="shared" si="86"/>
        <v>27.768061261032614</v>
      </c>
      <c r="AE104" s="169">
        <f t="shared" si="87"/>
        <v>-73.600167993601019</v>
      </c>
      <c r="AF104" s="98" t="str">
        <f t="shared" si="72"/>
        <v>-0.0000673063927557778</v>
      </c>
      <c r="AG104" s="98" t="str">
        <f t="shared" si="73"/>
        <v>0.000004582717384922i</v>
      </c>
      <c r="AH104" s="98">
        <f t="shared" si="88"/>
        <v>4.5827173849220002E-6</v>
      </c>
      <c r="AI104" s="98">
        <f t="shared" si="89"/>
        <v>1.5707963267948966</v>
      </c>
      <c r="AJ104" s="98" t="str">
        <f t="shared" si="74"/>
        <v>1+0.00461144287638302i</v>
      </c>
      <c r="AK104" s="98">
        <f t="shared" si="90"/>
        <v>1.0000106326461744</v>
      </c>
      <c r="AL104" s="98">
        <f t="shared" si="91"/>
        <v>4.6114101887326708E-3</v>
      </c>
      <c r="AM104" s="98" t="str">
        <f t="shared" si="75"/>
        <v>1+0.682764807050356i</v>
      </c>
      <c r="AN104" s="98">
        <f t="shared" si="92"/>
        <v>1.2108541537883537</v>
      </c>
      <c r="AO104" s="98">
        <f t="shared" si="93"/>
        <v>0.59906482404098704</v>
      </c>
      <c r="AP104" s="168" t="str">
        <f t="shared" si="94"/>
        <v>-9.95982999283155+14.7329341019335i</v>
      </c>
      <c r="AQ104" s="98">
        <f t="shared" si="95"/>
        <v>25.000409169429307</v>
      </c>
      <c r="AR104" s="169">
        <f t="shared" si="96"/>
        <v>124.05967173087789</v>
      </c>
      <c r="AS104" s="168" t="str">
        <f t="shared" si="97"/>
        <v>276.889283002184+335.410272497521i</v>
      </c>
      <c r="AT104" s="190">
        <f t="shared" si="98"/>
        <v>52.768470430461917</v>
      </c>
      <c r="AU104" s="169">
        <f t="shared" si="99"/>
        <v>50.459503737276933</v>
      </c>
      <c r="AV104" s="225"/>
      <c r="AX104">
        <f t="shared" si="100"/>
        <v>0</v>
      </c>
      <c r="AY104">
        <f t="shared" si="101"/>
        <v>0</v>
      </c>
    </row>
    <row r="105" spans="14:51" x14ac:dyDescent="0.25">
      <c r="N105" s="170">
        <v>87</v>
      </c>
      <c r="O105" s="199">
        <f t="shared" si="76"/>
        <v>74.131024130091816</v>
      </c>
      <c r="P105" s="189" t="str">
        <f t="shared" si="67"/>
        <v>87</v>
      </c>
      <c r="Q105" s="160" t="str">
        <f t="shared" si="68"/>
        <v>1+3.49334221215277i</v>
      </c>
      <c r="R105" s="160">
        <f t="shared" si="77"/>
        <v>3.633653782518143</v>
      </c>
      <c r="S105" s="160">
        <f t="shared" si="78"/>
        <v>1.2919933080385813</v>
      </c>
      <c r="T105" s="160" t="str">
        <f t="shared" si="69"/>
        <v>1+0.00232889480810184i</v>
      </c>
      <c r="U105" s="160">
        <f t="shared" si="79"/>
        <v>1.0000027118718364</v>
      </c>
      <c r="V105" s="160">
        <f t="shared" si="80"/>
        <v>2.3288905976670059E-3</v>
      </c>
      <c r="W105" s="98" t="str">
        <f t="shared" si="70"/>
        <v>1-0.000329926764481095i</v>
      </c>
      <c r="X105" s="160">
        <f t="shared" si="81"/>
        <v>1.0000000544258334</v>
      </c>
      <c r="Y105" s="160">
        <f t="shared" si="82"/>
        <v>-3.2992675251006937E-4</v>
      </c>
      <c r="Z105" s="98" t="str">
        <f t="shared" si="71"/>
        <v>0.999999960921538+0.000693079094891108i</v>
      </c>
      <c r="AA105" s="160">
        <f t="shared" si="83"/>
        <v>1.0000002011008344</v>
      </c>
      <c r="AB105" s="160">
        <f t="shared" si="84"/>
        <v>6.9307901100008451E-4</v>
      </c>
      <c r="AC105" s="171" t="str">
        <f t="shared" si="85"/>
        <v>6.61926260673849-23.0097372377264i</v>
      </c>
      <c r="AD105" s="190">
        <f t="shared" si="86"/>
        <v>27.583536433107362</v>
      </c>
      <c r="AE105" s="169">
        <f t="shared" si="87"/>
        <v>-73.950942020229064</v>
      </c>
      <c r="AF105" s="98" t="str">
        <f t="shared" si="72"/>
        <v>-0.0000673063927557778</v>
      </c>
      <c r="AG105" s="98" t="str">
        <f t="shared" si="73"/>
        <v>4.68946258559387E-06i</v>
      </c>
      <c r="AH105" s="98">
        <f t="shared" si="88"/>
        <v>4.6894625855938699E-6</v>
      </c>
      <c r="AI105" s="98">
        <f t="shared" si="89"/>
        <v>1.5707963267948966</v>
      </c>
      <c r="AJ105" s="98" t="str">
        <f t="shared" si="74"/>
        <v>1+0.00471885717970575i</v>
      </c>
      <c r="AK105" s="98">
        <f t="shared" si="90"/>
        <v>1.0000111337445612</v>
      </c>
      <c r="AL105" s="98">
        <f t="shared" si="91"/>
        <v>4.7188221542784192E-3</v>
      </c>
      <c r="AM105" s="98" t="str">
        <f t="shared" si="75"/>
        <v>1+0.698668442430552i</v>
      </c>
      <c r="AN105" s="98">
        <f t="shared" si="92"/>
        <v>1.2198924511809774</v>
      </c>
      <c r="AO105" s="98">
        <f t="shared" si="93"/>
        <v>0.60983174243609706</v>
      </c>
      <c r="AP105" s="168" t="str">
        <f t="shared" si="94"/>
        <v>-9.95982001123568+14.3996868353337i</v>
      </c>
      <c r="AQ105" s="98">
        <f t="shared" si="95"/>
        <v>24.864998975275917</v>
      </c>
      <c r="AR105" s="169">
        <f t="shared" si="96"/>
        <v>124.6704164609844</v>
      </c>
      <c r="AS105" s="168" t="str">
        <f t="shared" si="97"/>
        <v>265.406346216358+324.488150011451i</v>
      </c>
      <c r="AT105" s="190">
        <f t="shared" si="98"/>
        <v>52.448535408383272</v>
      </c>
      <c r="AU105" s="169">
        <f t="shared" si="99"/>
        <v>50.719474440755384</v>
      </c>
      <c r="AV105" s="225"/>
      <c r="AX105">
        <f t="shared" si="100"/>
        <v>0</v>
      </c>
      <c r="AY105">
        <f t="shared" si="101"/>
        <v>0</v>
      </c>
    </row>
    <row r="106" spans="14:51" x14ac:dyDescent="0.25">
      <c r="N106" s="170">
        <v>88</v>
      </c>
      <c r="O106" s="199">
        <f t="shared" si="76"/>
        <v>75.857757502918361</v>
      </c>
      <c r="P106" s="189" t="str">
        <f t="shared" si="67"/>
        <v>87</v>
      </c>
      <c r="Q106" s="160" t="str">
        <f t="shared" si="68"/>
        <v>1+3.57471260533448i</v>
      </c>
      <c r="R106" s="160">
        <f t="shared" si="77"/>
        <v>3.7119496508893044</v>
      </c>
      <c r="S106" s="160">
        <f t="shared" si="78"/>
        <v>1.2980261705391327</v>
      </c>
      <c r="T106" s="160" t="str">
        <f t="shared" si="69"/>
        <v>1+0.00238314173688964i</v>
      </c>
      <c r="U106" s="160">
        <f t="shared" si="79"/>
        <v>1.0000028396782372</v>
      </c>
      <c r="V106" s="160">
        <f t="shared" si="80"/>
        <v>2.3831372253281238E-3</v>
      </c>
      <c r="W106" s="98" t="str">
        <f t="shared" si="70"/>
        <v>1-0.000337611746059367i</v>
      </c>
      <c r="X106" s="160">
        <f t="shared" si="81"/>
        <v>1.0000000569908438</v>
      </c>
      <c r="Y106" s="160">
        <f t="shared" si="82"/>
        <v>-3.3761173323218192E-4</v>
      </c>
      <c r="Z106" s="98" t="str">
        <f t="shared" si="71"/>
        <v>0.999999959079827+0.000709222980898359i</v>
      </c>
      <c r="AA106" s="160">
        <f t="shared" si="83"/>
        <v>1.000000210578424</v>
      </c>
      <c r="AB106" s="160">
        <f t="shared" si="84"/>
        <v>7.0922289100750868E-4</v>
      </c>
      <c r="AC106" s="171" t="str">
        <f t="shared" si="85"/>
        <v>6.34432642659023-22.5628850455143i</v>
      </c>
      <c r="AD106" s="190">
        <f t="shared" si="86"/>
        <v>27.398366847624047</v>
      </c>
      <c r="AE106" s="169">
        <f t="shared" si="87"/>
        <v>-74.294856770226019</v>
      </c>
      <c r="AF106" s="98" t="str">
        <f t="shared" si="72"/>
        <v>-0.0000673063927557778</v>
      </c>
      <c r="AG106" s="98" t="str">
        <f t="shared" si="73"/>
        <v>4.79869420140099E-06i</v>
      </c>
      <c r="AH106" s="98">
        <f t="shared" si="88"/>
        <v>4.7986942014009904E-6</v>
      </c>
      <c r="AI106" s="98">
        <f t="shared" si="89"/>
        <v>1.5707963267948966</v>
      </c>
      <c r="AJ106" s="98" t="str">
        <f t="shared" si="74"/>
        <v>1+0.00482877348356662i</v>
      </c>
      <c r="AK106" s="98">
        <f t="shared" si="90"/>
        <v>1.000011658458718</v>
      </c>
      <c r="AL106" s="98">
        <f t="shared" si="91"/>
        <v>4.8287359531686913E-3</v>
      </c>
      <c r="AM106" s="98" t="str">
        <f t="shared" si="75"/>
        <v>1+0.714942521066893i</v>
      </c>
      <c r="AN106" s="98">
        <f t="shared" si="92"/>
        <v>1.2292854869514587</v>
      </c>
      <c r="AO106" s="98">
        <f t="shared" si="93"/>
        <v>0.62068426348932615</v>
      </c>
      <c r="AP106" s="168" t="str">
        <f t="shared" si="94"/>
        <v>-9.95980955924319+14.0740744688557i</v>
      </c>
      <c r="AQ106" s="98">
        <f t="shared" si="95"/>
        <v>24.731618627263838</v>
      </c>
      <c r="AR106" s="169">
        <f t="shared" si="96"/>
        <v>125.28592251762464</v>
      </c>
      <c r="AS106" s="168" t="str">
        <f t="shared" si="97"/>
        <v>254.363441372286+314.012560742979i</v>
      </c>
      <c r="AT106" s="190">
        <f t="shared" si="98"/>
        <v>52.129985474887881</v>
      </c>
      <c r="AU106" s="169">
        <f t="shared" si="99"/>
        <v>50.991065747398707</v>
      </c>
      <c r="AV106" s="225"/>
      <c r="AX106">
        <f t="shared" si="100"/>
        <v>0</v>
      </c>
      <c r="AY106">
        <f t="shared" si="101"/>
        <v>0</v>
      </c>
    </row>
    <row r="107" spans="14:51" x14ac:dyDescent="0.25">
      <c r="N107" s="170">
        <v>89</v>
      </c>
      <c r="O107" s="199">
        <f t="shared" si="76"/>
        <v>77.624711662869217</v>
      </c>
      <c r="P107" s="189" t="str">
        <f t="shared" si="67"/>
        <v>87</v>
      </c>
      <c r="Q107" s="160" t="str">
        <f t="shared" si="68"/>
        <v>1+3.65797835845645i</v>
      </c>
      <c r="R107" s="160">
        <f t="shared" si="77"/>
        <v>3.7922032739471843</v>
      </c>
      <c r="S107" s="160">
        <f t="shared" si="78"/>
        <v>1.3039414499234325</v>
      </c>
      <c r="T107" s="160" t="str">
        <f t="shared" si="69"/>
        <v>1+0.00243865223897096i</v>
      </c>
      <c r="U107" s="160">
        <f t="shared" si="79"/>
        <v>1.0000029735079505</v>
      </c>
      <c r="V107" s="160">
        <f t="shared" si="80"/>
        <v>2.438647404746475E-3</v>
      </c>
      <c r="W107" s="98" t="str">
        <f t="shared" si="70"/>
        <v>1-0.00034547573385422i</v>
      </c>
      <c r="X107" s="160">
        <f t="shared" si="81"/>
        <v>1.0000000596767395</v>
      </c>
      <c r="Y107" s="160">
        <f t="shared" si="82"/>
        <v>-3.4547572010964366E-4</v>
      </c>
      <c r="Z107" s="98" t="str">
        <f t="shared" si="71"/>
        <v>0.999999957151318+0.000725742906317758i</v>
      </c>
      <c r="AA107" s="160">
        <f t="shared" si="83"/>
        <v>1.0000002205026777</v>
      </c>
      <c r="AB107" s="160">
        <f t="shared" si="84"/>
        <v>7.2574280999797812E-4</v>
      </c>
      <c r="AC107" s="171" t="str">
        <f t="shared" si="85"/>
        <v>6.08000293225722-22.121552535916i</v>
      </c>
      <c r="AD107" s="190">
        <f t="shared" si="86"/>
        <v>27.21257730634969</v>
      </c>
      <c r="AE107" s="169">
        <f t="shared" si="87"/>
        <v>-74.631993909480769</v>
      </c>
      <c r="AF107" s="98" t="str">
        <f t="shared" si="72"/>
        <v>-0.0000673063927557778</v>
      </c>
      <c r="AG107" s="98" t="str">
        <f t="shared" si="73"/>
        <v>4.91047014839192E-06i</v>
      </c>
      <c r="AH107" s="98">
        <f t="shared" si="88"/>
        <v>4.91047014839192E-6</v>
      </c>
      <c r="AI107" s="98">
        <f t="shared" si="89"/>
        <v>1.5707963267948966</v>
      </c>
      <c r="AJ107" s="98" t="str">
        <f t="shared" si="74"/>
        <v>1+0.00494125006704485i</v>
      </c>
      <c r="AK107" s="98">
        <f t="shared" si="90"/>
        <v>1.0000122079015961</v>
      </c>
      <c r="AL107" s="98">
        <f t="shared" si="91"/>
        <v>4.9412098525254506E-3</v>
      </c>
      <c r="AM107" s="98" t="str">
        <f t="shared" si="75"/>
        <v>1+0.731595671691288i</v>
      </c>
      <c r="AN107" s="98">
        <f t="shared" si="92"/>
        <v>1.2390448849163724</v>
      </c>
      <c r="AO107" s="98">
        <f t="shared" si="93"/>
        <v>0.63161791606211326</v>
      </c>
      <c r="AP107" s="168" t="str">
        <f t="shared" si="94"/>
        <v>-9.95979861468695+13.7559243581951i</v>
      </c>
      <c r="AQ107" s="98">
        <f t="shared" si="95"/>
        <v>24.600299551419013</v>
      </c>
      <c r="AR107" s="169">
        <f t="shared" si="96"/>
        <v>125.90593038496917</v>
      </c>
      <c r="AS107" s="168" t="str">
        <f t="shared" si="97"/>
        <v>243.746798587911+303.962268735675i</v>
      </c>
      <c r="AT107" s="190">
        <f t="shared" si="98"/>
        <v>51.812876857768686</v>
      </c>
      <c r="AU107" s="169">
        <f t="shared" si="99"/>
        <v>51.273936475488398</v>
      </c>
      <c r="AV107" s="225"/>
      <c r="AX107">
        <f t="shared" si="100"/>
        <v>0</v>
      </c>
      <c r="AY107">
        <f t="shared" si="101"/>
        <v>0</v>
      </c>
    </row>
    <row r="108" spans="14:51" x14ac:dyDescent="0.25">
      <c r="N108" s="170">
        <v>90</v>
      </c>
      <c r="O108" s="199">
        <f t="shared" si="76"/>
        <v>79.432823472428197</v>
      </c>
      <c r="P108" s="189" t="str">
        <f t="shared" si="67"/>
        <v>87</v>
      </c>
      <c r="Q108" s="160" t="str">
        <f t="shared" si="68"/>
        <v>1+3.74318362012314i</v>
      </c>
      <c r="R108" s="160">
        <f t="shared" si="77"/>
        <v>3.8744578477456919</v>
      </c>
      <c r="S108" s="160">
        <f t="shared" si="78"/>
        <v>1.3097406260594424</v>
      </c>
      <c r="T108" s="160" t="str">
        <f t="shared" si="69"/>
        <v>1+0.00249545574674876i</v>
      </c>
      <c r="U108" s="160">
        <f t="shared" si="79"/>
        <v>1.0000031136448446</v>
      </c>
      <c r="V108" s="160">
        <f t="shared" si="80"/>
        <v>2.4954505667847695E-3</v>
      </c>
      <c r="W108" s="98" t="str">
        <f t="shared" si="70"/>
        <v>1-0.000353522897456074i</v>
      </c>
      <c r="X108" s="160">
        <f t="shared" si="81"/>
        <v>1.0000000624892176</v>
      </c>
      <c r="Y108" s="160">
        <f t="shared" si="82"/>
        <v>-3.5352288272849517E-4</v>
      </c>
      <c r="Z108" s="98" t="str">
        <f t="shared" si="71"/>
        <v>0.999999955131922+0.00074264763023243i</v>
      </c>
      <c r="AA108" s="160">
        <f t="shared" si="83"/>
        <v>1.0000002308946476</v>
      </c>
      <c r="AB108" s="160">
        <f t="shared" si="84"/>
        <v>7.4264752702392757E-4</v>
      </c>
      <c r="AC108" s="171" t="str">
        <f t="shared" si="85"/>
        <v>5.82595361031114-21.6858764332332i</v>
      </c>
      <c r="AD108" s="190">
        <f t="shared" si="86"/>
        <v>27.026191827599394</v>
      </c>
      <c r="AE108" s="169">
        <f t="shared" si="87"/>
        <v>-74.962437282673847</v>
      </c>
      <c r="AF108" s="98" t="str">
        <f t="shared" si="72"/>
        <v>-0.0000673063927557778</v>
      </c>
      <c r="AG108" s="98" t="str">
        <f t="shared" si="73"/>
        <v>5.02484969165329E-06i</v>
      </c>
      <c r="AH108" s="98">
        <f t="shared" si="88"/>
        <v>5.0248496916532899E-6</v>
      </c>
      <c r="AI108" s="98">
        <f t="shared" si="89"/>
        <v>1.5707963267948966</v>
      </c>
      <c r="AJ108" s="98" t="str">
        <f t="shared" si="74"/>
        <v>1+0.0050563465667138i</v>
      </c>
      <c r="AK108" s="98">
        <f t="shared" si="90"/>
        <v>1.0000127832385959</v>
      </c>
      <c r="AL108" s="98">
        <f t="shared" si="91"/>
        <v>5.0563034761096628E-3</v>
      </c>
      <c r="AM108" s="98" t="str">
        <f t="shared" si="75"/>
        <v>1+0.748636724024626i</v>
      </c>
      <c r="AN108" s="98">
        <f t="shared" si="92"/>
        <v>1.2491825105077017</v>
      </c>
      <c r="AO108" s="98">
        <f t="shared" si="93"/>
        <v>0.6426280410792562</v>
      </c>
      <c r="AP108" s="168" t="str">
        <f t="shared" si="94"/>
        <v>-9.95978715435544+13.4450678156118i</v>
      </c>
      <c r="AQ108" s="98">
        <f t="shared" si="95"/>
        <v>24.471071674025254</v>
      </c>
      <c r="AR108" s="169">
        <f t="shared" si="96"/>
        <v>126.53016970148258</v>
      </c>
      <c r="AS108" s="168" t="str">
        <f t="shared" si="97"/>
        <v>233.542821355951+294.317054911897i</v>
      </c>
      <c r="AT108" s="190">
        <f t="shared" si="98"/>
        <v>51.497263501624658</v>
      </c>
      <c r="AU108" s="169">
        <f t="shared" si="99"/>
        <v>51.567732418808696</v>
      </c>
      <c r="AV108" s="225"/>
      <c r="AX108">
        <f t="shared" si="100"/>
        <v>0</v>
      </c>
      <c r="AY108">
        <f t="shared" si="101"/>
        <v>0</v>
      </c>
    </row>
    <row r="109" spans="14:51" x14ac:dyDescent="0.25">
      <c r="N109" s="170">
        <v>91</v>
      </c>
      <c r="O109" s="199">
        <f t="shared" si="76"/>
        <v>81.283051616409963</v>
      </c>
      <c r="P109" s="189" t="str">
        <f t="shared" si="67"/>
        <v>87</v>
      </c>
      <c r="Q109" s="160" t="str">
        <f t="shared" si="68"/>
        <v>1+3.83037356729211i</v>
      </c>
      <c r="R109" s="160">
        <f t="shared" si="77"/>
        <v>3.95875759108967</v>
      </c>
      <c r="S109" s="160">
        <f t="shared" si="78"/>
        <v>1.3154252128823685</v>
      </c>
      <c r="T109" s="160" t="str">
        <f t="shared" si="69"/>
        <v>1+0.00255358237819474i</v>
      </c>
      <c r="U109" s="160">
        <f t="shared" si="79"/>
        <v>1.0000032603861662</v>
      </c>
      <c r="V109" s="160">
        <f t="shared" si="80"/>
        <v>2.5535768277643008E-3</v>
      </c>
      <c r="W109" s="98" t="str">
        <f t="shared" si="70"/>
        <v>1-0.000361757503577588i</v>
      </c>
      <c r="X109" s="160">
        <f t="shared" si="81"/>
        <v>1.0000000654342436</v>
      </c>
      <c r="Y109" s="160">
        <f t="shared" si="82"/>
        <v>-3.6175748779670297E-4</v>
      </c>
      <c r="Z109" s="98" t="str">
        <f t="shared" si="71"/>
        <v>0.999999953017355+0.000759946115750753i</v>
      </c>
      <c r="AA109" s="160">
        <f t="shared" si="83"/>
        <v>1.0000002417763763</v>
      </c>
      <c r="AB109" s="160">
        <f t="shared" si="84"/>
        <v>7.599460051608513E-4</v>
      </c>
      <c r="AC109" s="171" t="str">
        <f t="shared" si="85"/>
        <v>5.58184480812293-21.2559774880121i</v>
      </c>
      <c r="AD109" s="190">
        <f t="shared" si="86"/>
        <v>26.839233656806485</v>
      </c>
      <c r="AE109" s="169">
        <f t="shared" si="87"/>
        <v>-75.286272664375815</v>
      </c>
      <c r="AF109" s="98" t="str">
        <f t="shared" si="72"/>
        <v>-0.0000673063927557778</v>
      </c>
      <c r="AG109" s="98" t="str">
        <f t="shared" si="73"/>
        <v>5.14189347673292E-06i</v>
      </c>
      <c r="AH109" s="98">
        <f t="shared" si="88"/>
        <v>5.1418934767329201E-6</v>
      </c>
      <c r="AI109" s="98">
        <f t="shared" si="89"/>
        <v>1.5707963267948966</v>
      </c>
      <c r="AJ109" s="98" t="str">
        <f t="shared" si="74"/>
        <v>1+0.00517412400826108i</v>
      </c>
      <c r="AK109" s="98">
        <f t="shared" si="90"/>
        <v>1.0000133856900379</v>
      </c>
      <c r="AL109" s="98">
        <f t="shared" si="91"/>
        <v>5.1740778358802522E-3</v>
      </c>
      <c r="AM109" s="98" t="str">
        <f t="shared" si="75"/>
        <v>1+0.76607471345842i</v>
      </c>
      <c r="AN109" s="98">
        <f t="shared" si="92"/>
        <v>1.2597104693541292</v>
      </c>
      <c r="AO109" s="98">
        <f t="shared" si="93"/>
        <v>0.65370979916370209</v>
      </c>
      <c r="AP109" s="168" t="str">
        <f t="shared" si="94"/>
        <v>-9.95977515394337+13.1413400204875i</v>
      </c>
      <c r="AQ109" s="98">
        <f t="shared" si="95"/>
        <v>24.343963313417774</v>
      </c>
      <c r="AR109" s="169">
        <f t="shared" si="96"/>
        <v>127.15835969555668</v>
      </c>
      <c r="AS109" s="168" t="str">
        <f t="shared" si="97"/>
        <v>223.738108404684+285.057677023019i</v>
      </c>
      <c r="AT109" s="190">
        <f t="shared" si="98"/>
        <v>51.183196970224259</v>
      </c>
      <c r="AU109" s="169">
        <f t="shared" si="99"/>
        <v>51.872087031180904</v>
      </c>
      <c r="AV109" s="225"/>
      <c r="AX109">
        <f t="shared" si="100"/>
        <v>0</v>
      </c>
      <c r="AY109">
        <f t="shared" si="101"/>
        <v>0</v>
      </c>
    </row>
    <row r="110" spans="14:51" x14ac:dyDescent="0.25">
      <c r="N110" s="170">
        <v>92</v>
      </c>
      <c r="O110" s="199">
        <f t="shared" si="76"/>
        <v>83.176377110267126</v>
      </c>
      <c r="P110" s="189" t="str">
        <f t="shared" si="67"/>
        <v>87</v>
      </c>
      <c r="Q110" s="160" t="str">
        <f t="shared" si="68"/>
        <v>1+3.91959442922745i</v>
      </c>
      <c r="R110" s="160">
        <f t="shared" si="77"/>
        <v>4.0451477710500097</v>
      </c>
      <c r="S110" s="160">
        <f t="shared" si="78"/>
        <v>1.3209967542708541</v>
      </c>
      <c r="T110" s="160" t="str">
        <f t="shared" si="69"/>
        <v>1+0.00261306295281829i</v>
      </c>
      <c r="U110" s="160">
        <f t="shared" si="79"/>
        <v>1.0000034140431699</v>
      </c>
      <c r="V110" s="160">
        <f t="shared" si="80"/>
        <v>2.6130570054260192E-3</v>
      </c>
      <c r="W110" s="98" t="str">
        <f t="shared" si="70"/>
        <v>1-0.000370183918315926i</v>
      </c>
      <c r="X110" s="160">
        <f t="shared" si="81"/>
        <v>1.0000000685180643</v>
      </c>
      <c r="Y110" s="160">
        <f t="shared" si="82"/>
        <v>-3.7018390140640314E-4</v>
      </c>
      <c r="Z110" s="98" t="str">
        <f t="shared" si="71"/>
        <v>0.999999950803131+0.000777647534758725i</v>
      </c>
      <c r="AA110" s="160">
        <f t="shared" si="83"/>
        <v>1.0000002531709444</v>
      </c>
      <c r="AB110" s="160">
        <f t="shared" si="84"/>
        <v>7.7764741625951212E-4</v>
      </c>
      <c r="AC110" s="171" t="str">
        <f t="shared" si="85"/>
        <v>5.34734821460475-20.8319612722161i</v>
      </c>
      <c r="AD110" s="190">
        <f t="shared" si="86"/>
        <v>26.651725278270515</v>
      </c>
      <c r="AE110" s="169">
        <f t="shared" si="87"/>
        <v>-75.603587522257428</v>
      </c>
      <c r="AF110" s="98" t="str">
        <f t="shared" si="72"/>
        <v>-0.0000673063927557778</v>
      </c>
      <c r="AG110" s="98" t="str">
        <f t="shared" si="73"/>
        <v>5.26166356179492E-06i</v>
      </c>
      <c r="AH110" s="98">
        <f t="shared" si="88"/>
        <v>5.2616635617949203E-6</v>
      </c>
      <c r="AI110" s="98">
        <f t="shared" si="89"/>
        <v>1.5707963267948966</v>
      </c>
      <c r="AJ110" s="98" t="str">
        <f t="shared" si="74"/>
        <v>1+0.00529464483884517i</v>
      </c>
      <c r="AK110" s="98">
        <f t="shared" si="90"/>
        <v>1.0000140165337532</v>
      </c>
      <c r="AL110" s="98">
        <f t="shared" si="91"/>
        <v>5.2945953642851967E-3</v>
      </c>
      <c r="AM110" s="98" t="str">
        <f t="shared" si="75"/>
        <v>1+0.783918885845488i</v>
      </c>
      <c r="AN110" s="98">
        <f t="shared" si="92"/>
        <v>1.2706411057356957</v>
      </c>
      <c r="AO110" s="98">
        <f t="shared" si="93"/>
        <v>0.66485817924755763</v>
      </c>
      <c r="AP110" s="168" t="str">
        <f t="shared" si="94"/>
        <v>-9.95976258800036+12.8445799319344i</v>
      </c>
      <c r="AQ110" s="98">
        <f t="shared" si="95"/>
        <v>24.219001075309716</v>
      </c>
      <c r="AR110" s="169">
        <f t="shared" si="96"/>
        <v>127.79020967703434</v>
      </c>
      <c r="AS110" s="168" t="str">
        <f t="shared" si="97"/>
        <v>214.319473007111+276.165830080068i</v>
      </c>
      <c r="AT110" s="190">
        <f t="shared" si="98"/>
        <v>50.870726353580238</v>
      </c>
      <c r="AU110" s="169">
        <f t="shared" si="99"/>
        <v>52.186622154776913</v>
      </c>
      <c r="AV110" s="225"/>
      <c r="AX110">
        <f t="shared" si="100"/>
        <v>0</v>
      </c>
      <c r="AY110">
        <f t="shared" si="101"/>
        <v>0</v>
      </c>
    </row>
    <row r="111" spans="14:51" x14ac:dyDescent="0.25">
      <c r="N111" s="170">
        <v>93</v>
      </c>
      <c r="O111" s="199">
        <f t="shared" si="76"/>
        <v>85.113803820237734</v>
      </c>
      <c r="P111" s="189" t="str">
        <f t="shared" si="67"/>
        <v>87</v>
      </c>
      <c r="Q111" s="160" t="str">
        <f t="shared" si="68"/>
        <v>1+4.01089351201114i</v>
      </c>
      <c r="R111" s="160">
        <f t="shared" si="77"/>
        <v>4.1336747289419202</v>
      </c>
      <c r="S111" s="160">
        <f t="shared" si="78"/>
        <v>1.3264568201323412</v>
      </c>
      <c r="T111" s="160" t="str">
        <f t="shared" si="69"/>
        <v>1+0.00267392900800742i</v>
      </c>
      <c r="U111" s="160">
        <f t="shared" si="79"/>
        <v>1.0000035749417799</v>
      </c>
      <c r="V111" s="160">
        <f t="shared" si="80"/>
        <v>2.6739226352630163E-3</v>
      </c>
      <c r="W111" s="98" t="str">
        <f t="shared" si="70"/>
        <v>1-0.000378806609467719i</v>
      </c>
      <c r="X111" s="160">
        <f t="shared" si="81"/>
        <v>1.0000000717472211</v>
      </c>
      <c r="Y111" s="160">
        <f t="shared" si="82"/>
        <v>-3.7880659134883885E-4</v>
      </c>
      <c r="Z111" s="98" t="str">
        <f t="shared" si="71"/>
        <v>0.999999948484554+0.000795761272783008i</v>
      </c>
      <c r="AA111" s="160">
        <f t="shared" si="83"/>
        <v>1.0000002651025217</v>
      </c>
      <c r="AB111" s="160">
        <f t="shared" si="84"/>
        <v>7.9576114580881552E-4</v>
      </c>
      <c r="AC111" s="171" t="str">
        <f t="shared" si="85"/>
        <v>5.12214128109395-20.4139189635763i</v>
      </c>
      <c r="AD111" s="190">
        <f t="shared" si="86"/>
        <v>26.463688427941939</v>
      </c>
      <c r="AE111" s="169">
        <f t="shared" si="87"/>
        <v>-75.914470792273164</v>
      </c>
      <c r="AF111" s="98" t="str">
        <f t="shared" si="72"/>
        <v>-0.0000673063927557778</v>
      </c>
      <c r="AG111" s="98" t="str">
        <f t="shared" si="73"/>
        <v>5.38422345052374E-06i</v>
      </c>
      <c r="AH111" s="98">
        <f t="shared" si="88"/>
        <v>5.3842234505237402E-6</v>
      </c>
      <c r="AI111" s="98">
        <f t="shared" si="89"/>
        <v>1.5707963267948966</v>
      </c>
      <c r="AJ111" s="98" t="str">
        <f t="shared" si="74"/>
        <v>1+0.00541797296020574i</v>
      </c>
      <c r="AK111" s="98">
        <f t="shared" si="90"/>
        <v>1.00001467710779</v>
      </c>
      <c r="AL111" s="98">
        <f t="shared" si="91"/>
        <v>5.4179199473016323E-3</v>
      </c>
      <c r="AM111" s="98" t="str">
        <f t="shared" si="75"/>
        <v>1+0.802178702402226i</v>
      </c>
      <c r="AN111" s="98">
        <f t="shared" si="92"/>
        <v>1.2819870009433476</v>
      </c>
      <c r="AO111" s="98">
        <f t="shared" si="93"/>
        <v>0.67606800813690471</v>
      </c>
      <c r="AP111" s="168" t="str">
        <f t="shared" si="94"/>
        <v>-9.95974942987667+12.5546302034067i</v>
      </c>
      <c r="AQ111" s="98">
        <f t="shared" si="95"/>
        <v>24.096209752425757</v>
      </c>
      <c r="AR111" s="169">
        <f t="shared" si="96"/>
        <v>128.42541958334064</v>
      </c>
      <c r="AS111" s="168" t="str">
        <f t="shared" si="97"/>
        <v>205.273959885889+267.624107392766i</v>
      </c>
      <c r="AT111" s="190">
        <f t="shared" si="98"/>
        <v>50.559898180367703</v>
      </c>
      <c r="AU111" s="169">
        <f t="shared" si="99"/>
        <v>52.510948791067406</v>
      </c>
      <c r="AV111" s="225"/>
      <c r="AX111">
        <f t="shared" si="100"/>
        <v>0</v>
      </c>
      <c r="AY111">
        <f t="shared" si="101"/>
        <v>0</v>
      </c>
    </row>
    <row r="112" spans="14:51" x14ac:dyDescent="0.25">
      <c r="N112" s="170">
        <v>94</v>
      </c>
      <c r="O112" s="199">
        <f t="shared" si="76"/>
        <v>87.096358995608071</v>
      </c>
      <c r="P112" s="189" t="str">
        <f t="shared" si="67"/>
        <v>87</v>
      </c>
      <c r="Q112" s="160" t="str">
        <f t="shared" si="68"/>
        <v>1+4.10431922362533i</v>
      </c>
      <c r="R112" s="160">
        <f t="shared" si="77"/>
        <v>4.2243859067822429</v>
      </c>
      <c r="S112" s="160">
        <f t="shared" si="78"/>
        <v>1.3318070026943427</v>
      </c>
      <c r="T112" s="160" t="str">
        <f t="shared" si="69"/>
        <v>1+0.00273621281575021i</v>
      </c>
      <c r="U112" s="160">
        <f t="shared" si="79"/>
        <v>1.00000374342328</v>
      </c>
      <c r="V112" s="160">
        <f t="shared" si="80"/>
        <v>2.7362059872329345E-3</v>
      </c>
      <c r="W112" s="98" t="str">
        <f t="shared" si="70"/>
        <v>1-0.000387630148897948i</v>
      </c>
      <c r="X112" s="160">
        <f t="shared" si="81"/>
        <v>1.0000000751285634</v>
      </c>
      <c r="Y112" s="160">
        <f t="shared" si="82"/>
        <v>-3.8763012948321823E-4</v>
      </c>
      <c r="Z112" s="98" t="str">
        <f t="shared" si="71"/>
        <v>0.999999946056706+0.000814296933967264i</v>
      </c>
      <c r="AA112" s="160">
        <f t="shared" si="83"/>
        <v>1.000000277596417</v>
      </c>
      <c r="AB112" s="160">
        <f t="shared" si="84"/>
        <v>8.1429679791196745E-4</v>
      </c>
      <c r="AC112" s="171" t="str">
        <f t="shared" si="85"/>
        <v>4.90590758604905-20.0019281162599i</v>
      </c>
      <c r="AD112" s="190">
        <f t="shared" si="86"/>
        <v>26.275144107109533</v>
      </c>
      <c r="AE112" s="169">
        <f t="shared" si="87"/>
        <v>-76.219012665630117</v>
      </c>
      <c r="AF112" s="98" t="str">
        <f t="shared" si="72"/>
        <v>-0.0000673063927557778</v>
      </c>
      <c r="AG112" s="98" t="str">
        <f t="shared" si="73"/>
        <v>5.50963812579464E-06i</v>
      </c>
      <c r="AH112" s="98">
        <f t="shared" si="88"/>
        <v>5.5096381257946396E-6</v>
      </c>
      <c r="AI112" s="98">
        <f t="shared" si="89"/>
        <v>1.5707963267948966</v>
      </c>
      <c r="AJ112" s="98" t="str">
        <f t="shared" si="74"/>
        <v>1+0.00554417376254513i</v>
      </c>
      <c r="AK112" s="98">
        <f t="shared" si="90"/>
        <v>1.0000153688132545</v>
      </c>
      <c r="AL112" s="98">
        <f t="shared" si="91"/>
        <v>5.544116958242102E-3</v>
      </c>
      <c r="AM112" s="98" t="str">
        <f t="shared" si="75"/>
        <v>1+0.820863844725064i</v>
      </c>
      <c r="AN112" s="98">
        <f t="shared" si="92"/>
        <v>1.2937609715773675</v>
      </c>
      <c r="AO112" s="98">
        <f t="shared" si="93"/>
        <v>0.68733396099869293</v>
      </c>
      <c r="AP112" s="168" t="str">
        <f t="shared" si="94"/>
        <v>-9.95973565166699+12.2713370992718i</v>
      </c>
      <c r="AQ112" s="98">
        <f t="shared" si="95"/>
        <v>23.975612229209823</v>
      </c>
      <c r="AR112" s="169">
        <f t="shared" si="96"/>
        <v>129.06368057840052</v>
      </c>
      <c r="AS112" s="168" t="str">
        <f t="shared" si="97"/>
        <v>196.588859861472+259.415962327877i</v>
      </c>
      <c r="AT112" s="190">
        <f t="shared" si="98"/>
        <v>50.250756336319363</v>
      </c>
      <c r="AU112" s="169">
        <f t="shared" si="99"/>
        <v>52.844667912770362</v>
      </c>
      <c r="AV112" s="225"/>
      <c r="AX112">
        <f t="shared" si="100"/>
        <v>0</v>
      </c>
      <c r="AY112">
        <f t="shared" si="101"/>
        <v>0</v>
      </c>
    </row>
    <row r="113" spans="14:51" x14ac:dyDescent="0.25">
      <c r="N113" s="170">
        <v>95</v>
      </c>
      <c r="O113" s="199">
        <f t="shared" si="76"/>
        <v>89.125093813374562</v>
      </c>
      <c r="P113" s="189" t="str">
        <f t="shared" si="67"/>
        <v>87</v>
      </c>
      <c r="Q113" s="160" t="str">
        <f t="shared" si="68"/>
        <v>1+4.19992109961899i</v>
      </c>
      <c r="R113" s="160">
        <f t="shared" si="77"/>
        <v>4.3173298742422714</v>
      </c>
      <c r="S113" s="160">
        <f t="shared" si="78"/>
        <v>1.3370489129976839</v>
      </c>
      <c r="T113" s="160" t="str">
        <f t="shared" si="69"/>
        <v>1+0.00279994739974598i</v>
      </c>
      <c r="U113" s="160">
        <f t="shared" si="79"/>
        <v>1.0000039198450381</v>
      </c>
      <c r="V113" s="160">
        <f t="shared" si="80"/>
        <v>2.7999400828594423E-3</v>
      </c>
      <c r="W113" s="98" t="str">
        <f t="shared" si="70"/>
        <v>1-0.000396659214964015i</v>
      </c>
      <c r="X113" s="160">
        <f t="shared" si="81"/>
        <v>1.0000000786692633</v>
      </c>
      <c r="Y113" s="160">
        <f t="shared" si="82"/>
        <v>-3.9665919416075735E-4</v>
      </c>
      <c r="Z113" s="98" t="str">
        <f t="shared" si="71"/>
        <v>0.999999943514437+0.000833264346164405i</v>
      </c>
      <c r="AA113" s="160">
        <f t="shared" si="83"/>
        <v>1.0000002906791317</v>
      </c>
      <c r="AB113" s="160">
        <f t="shared" si="84"/>
        <v>8.3326420037853018E-4</v>
      </c>
      <c r="AC113" s="171" t="str">
        <f t="shared" si="85"/>
        <v>4.69833714719441-19.5960534153986i</v>
      </c>
      <c r="AD113" s="190">
        <f t="shared" si="86"/>
        <v>26.086112596865231</v>
      </c>
      <c r="AE113" s="169">
        <f t="shared" si="87"/>
        <v>-76.517304387315832</v>
      </c>
      <c r="AF113" s="98" t="str">
        <f t="shared" si="72"/>
        <v>-0.0000673063927557778</v>
      </c>
      <c r="AG113" s="98" t="str">
        <f t="shared" si="73"/>
        <v>5.63797408412852E-06i</v>
      </c>
      <c r="AH113" s="98">
        <f t="shared" si="88"/>
        <v>5.63797408412852E-6</v>
      </c>
      <c r="AI113" s="98">
        <f t="shared" si="89"/>
        <v>1.5707963267948966</v>
      </c>
      <c r="AJ113" s="98" t="str">
        <f t="shared" si="74"/>
        <v>1+0.00567331415919925i</v>
      </c>
      <c r="AK113" s="98">
        <f t="shared" si="90"/>
        <v>1.0000160931172803</v>
      </c>
      <c r="AL113" s="98">
        <f t="shared" si="91"/>
        <v>5.6732532923448381E-3</v>
      </c>
      <c r="AM113" s="98" t="str">
        <f t="shared" si="75"/>
        <v>1+0.839984219923795i</v>
      </c>
      <c r="AN113" s="98">
        <f t="shared" si="92"/>
        <v>1.3059760678209178</v>
      </c>
      <c r="AO113" s="98">
        <f t="shared" si="93"/>
        <v>0.69865057272870867</v>
      </c>
      <c r="AP113" s="168" t="str">
        <f t="shared" si="94"/>
        <v>-9.95972122415112+11.9945504132954i</v>
      </c>
      <c r="AQ113" s="98">
        <f t="shared" si="95"/>
        <v>23.857229392352906</v>
      </c>
      <c r="AR113" s="169">
        <f t="shared" si="96"/>
        <v>129.70467570199281</v>
      </c>
      <c r="AS113" s="168" t="str">
        <f t="shared" si="97"/>
        <v>188.251722389498+251.525670881626i</v>
      </c>
      <c r="AT113" s="190">
        <f t="shared" si="98"/>
        <v>49.943341989218126</v>
      </c>
      <c r="AU113" s="169">
        <f t="shared" si="99"/>
        <v>53.187371314676973</v>
      </c>
      <c r="AV113" s="225"/>
      <c r="AX113">
        <f t="shared" si="100"/>
        <v>0</v>
      </c>
      <c r="AY113">
        <f t="shared" si="101"/>
        <v>0</v>
      </c>
    </row>
    <row r="114" spans="14:51" x14ac:dyDescent="0.25">
      <c r="N114" s="170">
        <v>96</v>
      </c>
      <c r="O114" s="199">
        <f t="shared" si="76"/>
        <v>91.201083935590972</v>
      </c>
      <c r="P114" s="189" t="str">
        <f t="shared" si="67"/>
        <v>87</v>
      </c>
      <c r="Q114" s="160" t="str">
        <f t="shared" si="68"/>
        <v>1+4.29774982937219i</v>
      </c>
      <c r="R114" s="160">
        <f t="shared" si="77"/>
        <v>4.4125563561124848</v>
      </c>
      <c r="S114" s="160">
        <f t="shared" si="78"/>
        <v>1.3421841775871293</v>
      </c>
      <c r="T114" s="160" t="str">
        <f t="shared" si="69"/>
        <v>1+0.00286516655291479i</v>
      </c>
      <c r="U114" s="160">
        <f t="shared" si="79"/>
        <v>1.0000041045812642</v>
      </c>
      <c r="V114" s="160">
        <f t="shared" si="80"/>
        <v>2.8651587127313488E-3</v>
      </c>
      <c r="W114" s="98" t="str">
        <f t="shared" si="70"/>
        <v>1-0.000405898594996262i</v>
      </c>
      <c r="X114" s="160">
        <f t="shared" si="81"/>
        <v>1.0000000823768314</v>
      </c>
      <c r="Y114" s="160">
        <f t="shared" si="82"/>
        <v>-4.0589857270516993E-4</v>
      </c>
      <c r="Z114" s="98" t="str">
        <f t="shared" si="71"/>
        <v>0.999999940852354+0.00085267356614744i</v>
      </c>
      <c r="AA114" s="160">
        <f t="shared" si="83"/>
        <v>1.0000003043784147</v>
      </c>
      <c r="AB114" s="160">
        <f t="shared" si="84"/>
        <v>8.5267340993506362E-4</v>
      </c>
      <c r="AC114" s="171" t="str">
        <f t="shared" si="85"/>
        <v>4.49912668469351-19.1963474133964i</v>
      </c>
      <c r="AD114" s="190">
        <f t="shared" si="86"/>
        <v>25.896613473230992</v>
      </c>
      <c r="AE114" s="169">
        <f t="shared" si="87"/>
        <v>-76.809438065923985</v>
      </c>
      <c r="AF114" s="98" t="str">
        <f t="shared" si="72"/>
        <v>-0.0000673063927557778</v>
      </c>
      <c r="AG114" s="98" t="str">
        <f t="shared" si="73"/>
        <v>5.76929937094921E-06i</v>
      </c>
      <c r="AH114" s="98">
        <f t="shared" si="88"/>
        <v>5.7692993709492097E-6</v>
      </c>
      <c r="AI114" s="98">
        <f t="shared" si="89"/>
        <v>1.5707963267948966</v>
      </c>
      <c r="AJ114" s="98" t="str">
        <f t="shared" si="74"/>
        <v>1+0.00580546262211577i</v>
      </c>
      <c r="AK114" s="98">
        <f t="shared" si="90"/>
        <v>1.000016851556141</v>
      </c>
      <c r="AL114" s="98">
        <f t="shared" si="91"/>
        <v>5.8053974021655763E-3</v>
      </c>
      <c r="AM114" s="98" t="str">
        <f t="shared" si="75"/>
        <v>1+0.859549965874435i</v>
      </c>
      <c r="AN114" s="98">
        <f t="shared" si="92"/>
        <v>1.3186455717268164</v>
      </c>
      <c r="AO114" s="98">
        <f t="shared" si="93"/>
        <v>0.7100122501503997</v>
      </c>
      <c r="AP114" s="168" t="str">
        <f t="shared" si="94"/>
        <v>-9.95970611673219+11.724123388998i</v>
      </c>
      <c r="AQ114" s="98">
        <f t="shared" si="95"/>
        <v>23.741080047860322</v>
      </c>
      <c r="AR114" s="169">
        <f t="shared" si="96"/>
        <v>130.34808056666432</v>
      </c>
      <c r="AS114" s="168" t="str">
        <f t="shared" si="97"/>
        <v>180.250366131237+243.938295146201i</v>
      </c>
      <c r="AT114" s="190">
        <f t="shared" si="98"/>
        <v>49.637693521091322</v>
      </c>
      <c r="AU114" s="169">
        <f t="shared" si="99"/>
        <v>53.538642500740401</v>
      </c>
      <c r="AV114" s="225"/>
      <c r="AX114">
        <f t="shared" si="100"/>
        <v>0</v>
      </c>
      <c r="AY114">
        <f t="shared" si="101"/>
        <v>0</v>
      </c>
    </row>
    <row r="115" spans="14:51" x14ac:dyDescent="0.25">
      <c r="N115" s="170">
        <v>97</v>
      </c>
      <c r="O115" s="199">
        <f t="shared" si="76"/>
        <v>93.325430079699174</v>
      </c>
      <c r="P115" s="189" t="str">
        <f t="shared" si="67"/>
        <v>87</v>
      </c>
      <c r="Q115" s="160" t="str">
        <f t="shared" si="68"/>
        <v>1+4.39785728297238i</v>
      </c>
      <c r="R115" s="160">
        <f t="shared" si="77"/>
        <v>4.5101162602967566</v>
      </c>
      <c r="S115" s="160">
        <f t="shared" si="78"/>
        <v>1.3472144353943654</v>
      </c>
      <c r="T115" s="160" t="str">
        <f t="shared" si="69"/>
        <v>1+0.00293190485531491i</v>
      </c>
      <c r="U115" s="160">
        <f t="shared" si="79"/>
        <v>1.0000042980238038</v>
      </c>
      <c r="V115" s="160">
        <f t="shared" si="80"/>
        <v>2.931896454408946E-3</v>
      </c>
      <c r="W115" s="98" t="str">
        <f t="shared" si="70"/>
        <v>1-0.00041535318783628i</v>
      </c>
      <c r="X115" s="160">
        <f t="shared" si="81"/>
        <v>1.0000000862591316</v>
      </c>
      <c r="Y115" s="160">
        <f t="shared" si="82"/>
        <v>-4.1535316395094454E-4</v>
      </c>
      <c r="Z115" s="98" t="str">
        <f t="shared" si="71"/>
        <v>0.999999938064811+0.000872534884941717i</v>
      </c>
      <c r="AA115" s="160">
        <f t="shared" si="83"/>
        <v>1.0000003187233248</v>
      </c>
      <c r="AB115" s="160">
        <f t="shared" si="84"/>
        <v>8.7253471755714327E-4</v>
      </c>
      <c r="AC115" s="171" t="str">
        <f t="shared" si="85"/>
        <v>4.30797983884828-18.802851246272i</v>
      </c>
      <c r="AD115" s="190">
        <f t="shared" si="86"/>
        <v>25.706665622837122</v>
      </c>
      <c r="AE115" s="169">
        <f t="shared" si="87"/>
        <v>-77.095506494486685</v>
      </c>
      <c r="AF115" s="98" t="str">
        <f t="shared" si="72"/>
        <v>-0.0000673063927557778</v>
      </c>
      <c r="AG115" s="98" t="str">
        <f t="shared" si="73"/>
        <v>0.0000059036836166621i</v>
      </c>
      <c r="AH115" s="98">
        <f t="shared" si="88"/>
        <v>5.9036836166621E-6</v>
      </c>
      <c r="AI115" s="98">
        <f t="shared" si="89"/>
        <v>1.5707963267948966</v>
      </c>
      <c r="AJ115" s="98" t="str">
        <f t="shared" si="74"/>
        <v>1+0.00594068921815893i</v>
      </c>
      <c r="AK115" s="98">
        <f t="shared" si="90"/>
        <v>1.0000176457385073</v>
      </c>
      <c r="AL115" s="98">
        <f t="shared" si="91"/>
        <v>5.9406193337898112E-3</v>
      </c>
      <c r="AM115" s="98" t="str">
        <f t="shared" si="75"/>
        <v>1+0.879571456594473i</v>
      </c>
      <c r="AN115" s="98">
        <f t="shared" si="92"/>
        <v>1.3317829955573555</v>
      </c>
      <c r="AO115" s="98">
        <f t="shared" si="93"/>
        <v>0.72141328498554569</v>
      </c>
      <c r="AP115" s="168" t="str">
        <f t="shared" si="94"/>
        <v>-9.95969029737175+11.4599126418397i</v>
      </c>
      <c r="AQ115" s="98">
        <f t="shared" si="95"/>
        <v>23.627180845338486</v>
      </c>
      <c r="AR115" s="169">
        <f t="shared" si="96"/>
        <v>130.99356409882029</v>
      </c>
      <c r="AS115" s="168" t="str">
        <f t="shared" si="97"/>
        <v>172.572887697534+236.639647736428i</v>
      </c>
      <c r="AT115" s="190">
        <f t="shared" si="98"/>
        <v>49.333846468175636</v>
      </c>
      <c r="AU115" s="169">
        <f t="shared" si="99"/>
        <v>53.898057604333594</v>
      </c>
      <c r="AV115" s="225"/>
      <c r="AX115">
        <f t="shared" si="100"/>
        <v>0</v>
      </c>
      <c r="AY115">
        <f t="shared" si="101"/>
        <v>0</v>
      </c>
    </row>
    <row r="116" spans="14:51" x14ac:dyDescent="0.25">
      <c r="N116" s="170">
        <v>98</v>
      </c>
      <c r="O116" s="199">
        <f t="shared" si="76"/>
        <v>95.499258602143655</v>
      </c>
      <c r="P116" s="189" t="str">
        <f t="shared" si="67"/>
        <v>87</v>
      </c>
      <c r="Q116" s="160" t="str">
        <f t="shared" si="68"/>
        <v>1+4.50029653871651i</v>
      </c>
      <c r="R116" s="160">
        <f t="shared" si="77"/>
        <v>4.610061706353159</v>
      </c>
      <c r="S116" s="160">
        <f t="shared" si="78"/>
        <v>1.3521413348078293</v>
      </c>
      <c r="T116" s="160" t="str">
        <f t="shared" si="69"/>
        <v>1+0.00300019769247766i</v>
      </c>
      <c r="U116" s="160">
        <f t="shared" si="79"/>
        <v>1.0000045005829694</v>
      </c>
      <c r="V116" s="160">
        <f t="shared" si="80"/>
        <v>3.0001886907469262E-3</v>
      </c>
      <c r="W116" s="98" t="str">
        <f t="shared" si="70"/>
        <v>1-0.000425028006434337i</v>
      </c>
      <c r="X116" s="160">
        <f t="shared" si="81"/>
        <v>1.0000000903243991</v>
      </c>
      <c r="Y116" s="160">
        <f t="shared" si="82"/>
        <v>-4.2502798084073911E-4</v>
      </c>
      <c r="Z116" s="98" t="str">
        <f t="shared" si="71"/>
        <v>0.999999935145896+0.000892858833281353i</v>
      </c>
      <c r="AA116" s="160">
        <f t="shared" si="83"/>
        <v>1.0000003337442904</v>
      </c>
      <c r="AB116" s="160">
        <f t="shared" si="84"/>
        <v>8.9285865392555353E-4</v>
      </c>
      <c r="AC116" s="171" t="str">
        <f t="shared" si="85"/>
        <v>4.12460734572482-18.4155953286173i</v>
      </c>
      <c r="AD116" s="190">
        <f t="shared" si="86"/>
        <v>25.516287259053666</v>
      </c>
      <c r="AE116" s="169">
        <f t="shared" si="87"/>
        <v>-77.375602982000331</v>
      </c>
      <c r="AF116" s="98" t="str">
        <f t="shared" si="72"/>
        <v>-0.0000673063927557778</v>
      </c>
      <c r="AG116" s="98" t="str">
        <f t="shared" si="73"/>
        <v>6.04119807357302E-06i</v>
      </c>
      <c r="AH116" s="98">
        <f t="shared" si="88"/>
        <v>6.0411980735730203E-6</v>
      </c>
      <c r="AI116" s="98">
        <f t="shared" si="89"/>
        <v>1.5707963267948966</v>
      </c>
      <c r="AJ116" s="98" t="str">
        <f t="shared" si="74"/>
        <v>1+0.00607906564625987i</v>
      </c>
      <c r="AK116" s="98">
        <f t="shared" si="90"/>
        <v>1.0000184773488596</v>
      </c>
      <c r="AL116" s="98">
        <f t="shared" si="91"/>
        <v>6.0789907638839511E-3</v>
      </c>
      <c r="AM116" s="98" t="str">
        <f t="shared" si="75"/>
        <v>1+0.900059307743299i</v>
      </c>
      <c r="AN116" s="98">
        <f t="shared" si="92"/>
        <v>1.3454020802181579</v>
      </c>
      <c r="AO116" s="98">
        <f t="shared" si="93"/>
        <v>0.73284786752923681</v>
      </c>
      <c r="AP116" s="168" t="str">
        <f t="shared" si="94"/>
        <v>-9.95967373252159+11.2017780831939i</v>
      </c>
      <c r="AQ116" s="98">
        <f t="shared" si="95"/>
        <v>23.515546210135611</v>
      </c>
      <c r="AR116" s="169">
        <f t="shared" si="96"/>
        <v>131.6407893201181</v>
      </c>
      <c r="AS116" s="168" t="str">
        <f t="shared" si="97"/>
        <v>165.207668702892+229.616257230298i</v>
      </c>
      <c r="AT116" s="190">
        <f t="shared" si="98"/>
        <v>49.03183346918928</v>
      </c>
      <c r="AU116" s="169">
        <f t="shared" si="99"/>
        <v>54.265186338117843</v>
      </c>
      <c r="AV116" s="225"/>
      <c r="AX116">
        <f t="shared" si="100"/>
        <v>0</v>
      </c>
      <c r="AY116">
        <f t="shared" si="101"/>
        <v>0</v>
      </c>
    </row>
    <row r="117" spans="14:51" x14ac:dyDescent="0.25">
      <c r="N117" s="170">
        <v>99</v>
      </c>
      <c r="O117" s="199">
        <f t="shared" si="76"/>
        <v>97.723722095581124</v>
      </c>
      <c r="P117" s="189" t="str">
        <f t="shared" si="67"/>
        <v>87</v>
      </c>
      <c r="Q117" s="160" t="str">
        <f t="shared" si="68"/>
        <v>1+4.60512191125393i</v>
      </c>
      <c r="R117" s="160">
        <f t="shared" si="77"/>
        <v>4.7124460545995692</v>
      </c>
      <c r="S117" s="160">
        <f t="shared" si="78"/>
        <v>1.3569665309235872</v>
      </c>
      <c r="T117" s="160" t="str">
        <f t="shared" si="69"/>
        <v>1+0.00307008127416928i</v>
      </c>
      <c r="U117" s="160">
        <f t="shared" si="79"/>
        <v>1.0000047126884102</v>
      </c>
      <c r="V117" s="160">
        <f t="shared" si="80"/>
        <v>3.070071628643473E-3</v>
      </c>
      <c r="W117" s="98" t="str">
        <f t="shared" si="70"/>
        <v>1-0.000434928180507316i</v>
      </c>
      <c r="X117" s="160">
        <f t="shared" si="81"/>
        <v>1.0000000945812566</v>
      </c>
      <c r="Y117" s="160">
        <f t="shared" si="82"/>
        <v>-4.3492815308328195E-4</v>
      </c>
      <c r="Z117" s="98" t="str">
        <f t="shared" si="71"/>
        <v>0.999999932089416+0.000913656187192778i</v>
      </c>
      <c r="AA117" s="160">
        <f t="shared" si="83"/>
        <v>1.0000003494731713</v>
      </c>
      <c r="AB117" s="160">
        <f t="shared" si="84"/>
        <v>9.1365599500958024E-4</v>
      </c>
      <c r="AC117" s="171" t="str">
        <f t="shared" si="85"/>
        <v>3.94872717399046-18.0346000260323i</v>
      </c>
      <c r="AD117" s="190">
        <f t="shared" si="86"/>
        <v>25.325495938479847</v>
      </c>
      <c r="AE117" s="169">
        <f t="shared" si="87"/>
        <v>-77.649821195309841</v>
      </c>
      <c r="AF117" s="98" t="str">
        <f t="shared" si="72"/>
        <v>-0.0000673063927557778</v>
      </c>
      <c r="AG117" s="98" t="str">
        <f t="shared" si="73"/>
        <v>6.18191565366727E-06i</v>
      </c>
      <c r="AH117" s="98">
        <f t="shared" si="88"/>
        <v>6.1819156536672697E-6</v>
      </c>
      <c r="AI117" s="98">
        <f t="shared" si="89"/>
        <v>1.5707963267948966</v>
      </c>
      <c r="AJ117" s="98" t="str">
        <f t="shared" si="74"/>
        <v>1+0.00622066527543239i</v>
      </c>
      <c r="AK117" s="98">
        <f t="shared" si="90"/>
        <v>1.0000193481510591</v>
      </c>
      <c r="AL117" s="98">
        <f t="shared" si="91"/>
        <v>6.2205850376048158E-3</v>
      </c>
      <c r="AM117" s="98" t="str">
        <f t="shared" si="75"/>
        <v>1+0.921024382250784i</v>
      </c>
      <c r="AN117" s="98">
        <f t="shared" si="92"/>
        <v>1.359516793828027</v>
      </c>
      <c r="AO117" s="98">
        <f t="shared" si="93"/>
        <v>0.74431010095382688</v>
      </c>
      <c r="AP117" s="168" t="str">
        <f t="shared" si="94"/>
        <v>-9.9596563870531+10.9495828460671i</v>
      </c>
      <c r="AQ117" s="98">
        <f t="shared" si="95"/>
        <v>23.406188283913018</v>
      </c>
      <c r="AR117" s="169">
        <f t="shared" si="96"/>
        <v>132.28941416485338</v>
      </c>
      <c r="AS117" s="168" t="str">
        <f t="shared" si="97"/>
        <v>158.14338126156+222.855334665346i</v>
      </c>
      <c r="AT117" s="190">
        <f t="shared" si="98"/>
        <v>48.731684222392872</v>
      </c>
      <c r="AU117" s="169">
        <f t="shared" si="99"/>
        <v>54.639592969543664</v>
      </c>
      <c r="AV117" s="225"/>
      <c r="AX117">
        <f t="shared" si="100"/>
        <v>0</v>
      </c>
      <c r="AY117">
        <f t="shared" si="101"/>
        <v>0</v>
      </c>
    </row>
    <row r="118" spans="14:51" x14ac:dyDescent="0.25">
      <c r="N118" s="170">
        <v>100</v>
      </c>
      <c r="O118" s="199">
        <f t="shared" si="76"/>
        <v>100</v>
      </c>
      <c r="P118" s="189" t="str">
        <f t="shared" si="67"/>
        <v>87</v>
      </c>
      <c r="Q118" s="160" t="str">
        <f t="shared" si="68"/>
        <v>1+4.7123889803847i</v>
      </c>
      <c r="R118" s="160">
        <f t="shared" si="77"/>
        <v>4.8173239358020288</v>
      </c>
      <c r="S118" s="160">
        <f t="shared" si="78"/>
        <v>1.3616916829711641</v>
      </c>
      <c r="T118" s="160" t="str">
        <f t="shared" si="69"/>
        <v>1+0.0031415926535898i</v>
      </c>
      <c r="U118" s="160">
        <f t="shared" si="79"/>
        <v>1.0000049347900244</v>
      </c>
      <c r="V118" s="160">
        <f t="shared" si="80"/>
        <v>3.1415823182254434E-3</v>
      </c>
      <c r="W118" s="98" t="str">
        <f t="shared" si="70"/>
        <v>1-0.000445058959258555i</v>
      </c>
      <c r="X118" s="160">
        <f t="shared" si="81"/>
        <v>1.0000000990387337</v>
      </c>
      <c r="Y118" s="160">
        <f t="shared" si="82"/>
        <v>-4.4505892987317322E-4</v>
      </c>
      <c r="Z118" s="98" t="str">
        <f t="shared" si="71"/>
        <v>0.999999928888889+0.000934937973708323i</v>
      </c>
      <c r="AA118" s="160">
        <f t="shared" si="83"/>
        <v>1.0000003659433319</v>
      </c>
      <c r="AB118" s="160">
        <f t="shared" si="84"/>
        <v>9.3493776778032017E-4</v>
      </c>
      <c r="AC118" s="171" t="str">
        <f t="shared" si="85"/>
        <v>3.7800646261224-17.659876304166i</v>
      </c>
      <c r="AD118" s="190">
        <f t="shared" si="86"/>
        <v>25.134308577707401</v>
      </c>
      <c r="AE118" s="169">
        <f t="shared" si="87"/>
        <v>-77.918255011004064</v>
      </c>
      <c r="AF118" s="98" t="str">
        <f t="shared" si="72"/>
        <v>-0.0000673063927557778</v>
      </c>
      <c r="AG118" s="98" t="str">
        <f t="shared" si="73"/>
        <v>6.32591096726841E-06i</v>
      </c>
      <c r="AH118" s="98">
        <f t="shared" si="88"/>
        <v>6.3259109672684099E-6</v>
      </c>
      <c r="AI118" s="98">
        <f t="shared" si="89"/>
        <v>1.5707963267948966</v>
      </c>
      <c r="AJ118" s="98" t="str">
        <f t="shared" si="74"/>
        <v>1+0.0063655631836742i</v>
      </c>
      <c r="AK118" s="98">
        <f t="shared" si="90"/>
        <v>1.0000202599920891</v>
      </c>
      <c r="AL118" s="98">
        <f t="shared" si="91"/>
        <v>6.3654772073870186E-3</v>
      </c>
      <c r="AM118" s="98" t="str">
        <f t="shared" si="75"/>
        <v>1+0.942477796076938i</v>
      </c>
      <c r="AN118" s="98">
        <f t="shared" si="92"/>
        <v>1.3741413304671548</v>
      </c>
      <c r="AO118" s="98">
        <f t="shared" si="93"/>
        <v>0.75579401615930764</v>
      </c>
      <c r="AP118" s="168" t="str">
        <f t="shared" si="94"/>
        <v>-9.95963822418273+10.7031932125275i</v>
      </c>
      <c r="AQ118" s="98">
        <f t="shared" si="95"/>
        <v>23.299116874160379</v>
      </c>
      <c r="AR118" s="169">
        <f t="shared" si="96"/>
        <v>132.93909232860068</v>
      </c>
      <c r="AS118" s="168" t="str">
        <f t="shared" si="97"/>
        <v>151.368992052615+216.344741122539i</v>
      </c>
      <c r="AT118" s="190">
        <f t="shared" si="98"/>
        <v>48.433425451867784</v>
      </c>
      <c r="AU118" s="169">
        <f t="shared" si="99"/>
        <v>55.020837317596644</v>
      </c>
      <c r="AV118" s="225"/>
      <c r="AX118">
        <f t="shared" si="100"/>
        <v>0</v>
      </c>
      <c r="AY118">
        <f t="shared" si="101"/>
        <v>0</v>
      </c>
    </row>
    <row r="119" spans="14:51" x14ac:dyDescent="0.25">
      <c r="N119" s="170">
        <v>1</v>
      </c>
      <c r="O119" s="199">
        <f>10^(2+(N119/100))</f>
        <v>102.32929922807544</v>
      </c>
      <c r="P119" s="189" t="str">
        <f t="shared" si="67"/>
        <v>87</v>
      </c>
      <c r="Q119" s="160" t="str">
        <f t="shared" si="68"/>
        <v>1+4.82215462052871i</v>
      </c>
      <c r="R119" s="160">
        <f t="shared" si="77"/>
        <v>4.9247512814645154</v>
      </c>
      <c r="S119" s="160">
        <f t="shared" si="78"/>
        <v>1.366318451908044</v>
      </c>
      <c r="T119" s="160" t="str">
        <f t="shared" si="69"/>
        <v>1+0.00321476974701914i</v>
      </c>
      <c r="U119" s="160">
        <f t="shared" si="79"/>
        <v>1.0000051673589123</v>
      </c>
      <c r="V119" s="160">
        <f t="shared" si="80"/>
        <v>3.2147586724797957E-3</v>
      </c>
      <c r="W119" s="98" t="str">
        <f t="shared" si="70"/>
        <v>1-0.000455425714161045i</v>
      </c>
      <c r="X119" s="160">
        <f t="shared" si="81"/>
        <v>1.0000001037062851</v>
      </c>
      <c r="Y119" s="160">
        <f t="shared" si="82"/>
        <v>-4.5542568267404129E-4</v>
      </c>
      <c r="Z119" s="98" t="str">
        <f t="shared" si="71"/>
        <v>0.999999925537525+0.000956715476712895i</v>
      </c>
      <c r="AA119" s="160">
        <f t="shared" si="83"/>
        <v>1.000000383189706</v>
      </c>
      <c r="AB119" s="160">
        <f t="shared" si="84"/>
        <v>9.5671525605706945E-4</v>
      </c>
      <c r="AC119" s="171" t="str">
        <f t="shared" si="85"/>
        <v>3.61835240701368-17.2914263537256i</v>
      </c>
      <c r="AD119" s="190">
        <f t="shared" si="86"/>
        <v>24.94274147027906</v>
      </c>
      <c r="AE119" s="169">
        <f t="shared" si="87"/>
        <v>-78.180998376959977</v>
      </c>
      <c r="AF119" s="98" t="str">
        <f t="shared" si="72"/>
        <v>-0.0000673063927557778</v>
      </c>
      <c r="AG119" s="98" t="str">
        <f t="shared" si="73"/>
        <v>6.47326036259773E-06i</v>
      </c>
      <c r="AH119" s="98">
        <f t="shared" si="88"/>
        <v>6.4732603625977303E-6</v>
      </c>
      <c r="AI119" s="98">
        <f t="shared" si="89"/>
        <v>1.5707963267948966</v>
      </c>
      <c r="AJ119" s="98" t="str">
        <f t="shared" si="74"/>
        <v>1+0.00651383619777417i</v>
      </c>
      <c r="AK119" s="98">
        <f t="shared" si="90"/>
        <v>1.0000212148059717</v>
      </c>
      <c r="AL119" s="98">
        <f t="shared" si="91"/>
        <v>6.5137440726282161E-3</v>
      </c>
      <c r="AM119" s="98" t="str">
        <f t="shared" si="75"/>
        <v>1+0.96443092410574i</v>
      </c>
      <c r="AN119" s="98">
        <f t="shared" si="92"/>
        <v>1.3892901091461969</v>
      </c>
      <c r="AO119" s="98">
        <f t="shared" si="93"/>
        <v>0.76729358708129636</v>
      </c>
      <c r="AP119" s="168" t="str">
        <f t="shared" si="94"/>
        <v>-9.95961920539359+10.4624785428026i</v>
      </c>
      <c r="AQ119" s="98">
        <f t="shared" si="95"/>
        <v>23.194339413095548</v>
      </c>
      <c r="AR119" s="169">
        <f t="shared" si="96"/>
        <v>133.58947414302193</v>
      </c>
      <c r="AS119" s="168" t="str">
        <f t="shared" si="97"/>
        <v>144.87376507553+210.072956419893i</v>
      </c>
      <c r="AT119" s="190">
        <f t="shared" si="98"/>
        <v>48.137080883374608</v>
      </c>
      <c r="AU119" s="169">
        <f t="shared" si="99"/>
        <v>55.408475766061933</v>
      </c>
      <c r="AV119" s="225"/>
      <c r="AX119">
        <f t="shared" si="100"/>
        <v>0</v>
      </c>
      <c r="AY119">
        <f t="shared" si="101"/>
        <v>0</v>
      </c>
    </row>
    <row r="120" spans="14:51" x14ac:dyDescent="0.25">
      <c r="N120" s="170">
        <v>2</v>
      </c>
      <c r="O120" s="199">
        <f t="shared" ref="O120:O183" si="102">10^(2+(N120/100))</f>
        <v>104.71285480508998</v>
      </c>
      <c r="P120" s="189" t="str">
        <f t="shared" si="67"/>
        <v>87</v>
      </c>
      <c r="Q120" s="160" t="str">
        <f t="shared" si="68"/>
        <v>1+4.93447703088129i</v>
      </c>
      <c r="R120" s="160">
        <f t="shared" si="77"/>
        <v>5.0347853547390713</v>
      </c>
      <c r="S120" s="160">
        <f t="shared" si="78"/>
        <v>1.3708484981764266</v>
      </c>
      <c r="T120" s="160" t="str">
        <f t="shared" si="69"/>
        <v>1+0.00328965135392085i</v>
      </c>
      <c r="U120" s="160">
        <f t="shared" si="79"/>
        <v>1.0000054108883762</v>
      </c>
      <c r="V120" s="160">
        <f t="shared" si="80"/>
        <v>3.2896394873416141E-3</v>
      </c>
      <c r="W120" s="98" t="str">
        <f t="shared" si="70"/>
        <v>1-0.000466033941805455i</v>
      </c>
      <c r="X120" s="160">
        <f t="shared" si="81"/>
        <v>1.0000001085938115</v>
      </c>
      <c r="Y120" s="160">
        <f t="shared" si="82"/>
        <v>-4.6603390806652283E-4</v>
      </c>
      <c r="Z120" s="98" t="str">
        <f t="shared" si="71"/>
        <v>0.999999922028217+0.000979000242926846i</v>
      </c>
      <c r="AA120" s="160">
        <f t="shared" si="83"/>
        <v>1.0000004012488775</v>
      </c>
      <c r="AB120" s="160">
        <f t="shared" si="84"/>
        <v>9.7900000648987401E-4</v>
      </c>
      <c r="AC120" s="171" t="str">
        <f t="shared" si="85"/>
        <v>3.46333066286014-16.9292441910288i</v>
      </c>
      <c r="AD120" s="190">
        <f t="shared" si="86"/>
        <v>24.750810303770244</v>
      </c>
      <c r="AE120" s="169">
        <f t="shared" si="87"/>
        <v>-78.438145183169667</v>
      </c>
      <c r="AF120" s="98" t="str">
        <f t="shared" si="72"/>
        <v>-0.0000673063927557778</v>
      </c>
      <c r="AG120" s="98" t="str">
        <f t="shared" si="73"/>
        <v>6.62404196625503E-06i</v>
      </c>
      <c r="AH120" s="98">
        <f t="shared" si="88"/>
        <v>6.6240419662550302E-6</v>
      </c>
      <c r="AI120" s="98">
        <f t="shared" si="89"/>
        <v>1.5707963267948966</v>
      </c>
      <c r="AJ120" s="98" t="str">
        <f t="shared" si="74"/>
        <v>1+0.00666556293404702i</v>
      </c>
      <c r="AK120" s="98">
        <f t="shared" si="90"/>
        <v>1.0000222146178692</v>
      </c>
      <c r="AL120" s="98">
        <f t="shared" si="91"/>
        <v>6.6654642202930653E-3</v>
      </c>
      <c r="AM120" s="98" t="str">
        <f t="shared" si="75"/>
        <v>1+0.986895406176256i</v>
      </c>
      <c r="AN120" s="98">
        <f t="shared" si="92"/>
        <v>1.4049777730383486</v>
      </c>
      <c r="AO120" s="98">
        <f t="shared" si="93"/>
        <v>0.77880274636245062</v>
      </c>
      <c r="AP120" s="168" t="str">
        <f t="shared" si="94"/>
        <v>-9.95959929035441+10.2273112060086i</v>
      </c>
      <c r="AQ120" s="98">
        <f t="shared" si="95"/>
        <v>23.091860926312137</v>
      </c>
      <c r="AR120" s="169">
        <f t="shared" si="96"/>
        <v>134.24020747144786</v>
      </c>
      <c r="AS120" s="168" t="str">
        <f t="shared" si="97"/>
        <v>138.64726321208+204.02904892959i</v>
      </c>
      <c r="AT120" s="190">
        <f t="shared" si="98"/>
        <v>47.842671230082388</v>
      </c>
      <c r="AU120" s="169">
        <f t="shared" si="99"/>
        <v>55.802062288278329</v>
      </c>
      <c r="AV120" s="225"/>
      <c r="AX120">
        <f t="shared" si="100"/>
        <v>0</v>
      </c>
      <c r="AY120">
        <f t="shared" si="101"/>
        <v>0</v>
      </c>
    </row>
    <row r="121" spans="14:51" x14ac:dyDescent="0.25">
      <c r="N121" s="170">
        <v>3</v>
      </c>
      <c r="O121" s="199">
        <f t="shared" si="102"/>
        <v>107.15193052376065</v>
      </c>
      <c r="P121" s="189" t="str">
        <f t="shared" si="67"/>
        <v>87</v>
      </c>
      <c r="Q121" s="160" t="str">
        <f t="shared" si="68"/>
        <v>1+5.04941576627117i</v>
      </c>
      <c r="R121" s="160">
        <f t="shared" si="77"/>
        <v>5.1474847819753542</v>
      </c>
      <c r="S121" s="160">
        <f t="shared" si="78"/>
        <v>1.3752834796157163</v>
      </c>
      <c r="T121" s="160" t="str">
        <f t="shared" si="69"/>
        <v>1+0.0033662771775141i</v>
      </c>
      <c r="U121" s="160">
        <f t="shared" si="79"/>
        <v>1.0000056658949668</v>
      </c>
      <c r="V121" s="160">
        <f t="shared" si="80"/>
        <v>3.3662644622492527E-3</v>
      </c>
      <c r="W121" s="98" t="str">
        <f t="shared" si="70"/>
        <v>1-0.000476889266814499i</v>
      </c>
      <c r="X121" s="160">
        <f t="shared" si="81"/>
        <v>1.0000001137116798</v>
      </c>
      <c r="Y121" s="160">
        <f t="shared" si="82"/>
        <v>-4.7688923066258211E-4</v>
      </c>
      <c r="Z121" s="98" t="str">
        <f t="shared" si="71"/>
        <v>0.99999991835352+0.0010018040880282i</v>
      </c>
      <c r="AA121" s="160">
        <f t="shared" si="83"/>
        <v>1.0000004201591504</v>
      </c>
      <c r="AB121" s="160">
        <f t="shared" si="84"/>
        <v>1.0018038346814259E-3</v>
      </c>
      <c r="AC121" s="171" t="str">
        <f t="shared" si="85"/>
        <v>3.31474699306819-16.5733162338635i</v>
      </c>
      <c r="AD121" s="190">
        <f t="shared" si="86"/>
        <v>24.558530176929011</v>
      </c>
      <c r="AE121" s="169">
        <f t="shared" si="87"/>
        <v>-78.689789141474492</v>
      </c>
      <c r="AF121" s="98" t="str">
        <f t="shared" si="72"/>
        <v>-0.0000673063927557778</v>
      </c>
      <c r="AG121" s="98" t="str">
        <f t="shared" si="73"/>
        <v>0.0000067783357246424i</v>
      </c>
      <c r="AH121" s="98">
        <f t="shared" si="88"/>
        <v>6.7783357246424003E-6</v>
      </c>
      <c r="AI121" s="98">
        <f t="shared" si="89"/>
        <v>1.5707963267948966</v>
      </c>
      <c r="AJ121" s="98" t="str">
        <f t="shared" si="74"/>
        <v>1+0.00682082384001666i</v>
      </c>
      <c r="AK121" s="98">
        <f t="shared" si="90"/>
        <v>1.0000232615483784</v>
      </c>
      <c r="AL121" s="98">
        <f t="shared" si="91"/>
        <v>6.8207180664564878E-3</v>
      </c>
      <c r="AM121" s="98" t="str">
        <f t="shared" si="75"/>
        <v>1+1.00988315325423i</v>
      </c>
      <c r="AN121" s="98">
        <f t="shared" si="92"/>
        <v>1.4212191890157926</v>
      </c>
      <c r="AO121" s="98">
        <f t="shared" si="93"/>
        <v>0.79031540128882838</v>
      </c>
      <c r="AP121" s="168" t="str">
        <f t="shared" si="94"/>
        <v>-9.95957843683366+9.99756651247577i</v>
      </c>
      <c r="AQ121" s="98">
        <f t="shared" si="95"/>
        <v>22.991684011453145</v>
      </c>
      <c r="AR121" s="169">
        <f t="shared" si="96"/>
        <v>134.89093861958122</v>
      </c>
      <c r="AS121" s="168" t="str">
        <f t="shared" si="97"/>
        <v>132.679348704624+198.20264652484i</v>
      </c>
      <c r="AT121" s="190">
        <f t="shared" si="98"/>
        <v>47.550214188382149</v>
      </c>
      <c r="AU121" s="169">
        <f t="shared" si="99"/>
        <v>56.201149478106586</v>
      </c>
      <c r="AV121" s="225"/>
      <c r="AX121">
        <f t="shared" si="100"/>
        <v>0</v>
      </c>
      <c r="AY121">
        <f t="shared" si="101"/>
        <v>0</v>
      </c>
    </row>
    <row r="122" spans="14:51" x14ac:dyDescent="0.25">
      <c r="N122" s="170">
        <v>4</v>
      </c>
      <c r="O122" s="199">
        <f t="shared" si="102"/>
        <v>109.64781961431861</v>
      </c>
      <c r="P122" s="189" t="str">
        <f t="shared" si="67"/>
        <v>87</v>
      </c>
      <c r="Q122" s="160" t="str">
        <f t="shared" si="68"/>
        <v>1+5.16703176873724i</v>
      </c>
      <c r="R122" s="160">
        <f t="shared" si="77"/>
        <v>5.2629095849292229</v>
      </c>
      <c r="S122" s="160">
        <f t="shared" si="78"/>
        <v>1.3796250495242026</v>
      </c>
      <c r="T122" s="160" t="str">
        <f t="shared" si="69"/>
        <v>1+0.00344468784582482i</v>
      </c>
      <c r="U122" s="160">
        <f t="shared" si="79"/>
        <v>1.0000059329195778</v>
      </c>
      <c r="V122" s="160">
        <f t="shared" si="80"/>
        <v>3.4446742211774305E-3</v>
      </c>
      <c r="W122" s="98" t="str">
        <f t="shared" si="70"/>
        <v>1-0.000487997444825184i</v>
      </c>
      <c r="X122" s="160">
        <f t="shared" si="81"/>
        <v>1.0000001190707459</v>
      </c>
      <c r="Y122" s="160">
        <f t="shared" si="82"/>
        <v>-4.8799740608770735E-4</v>
      </c>
      <c r="Z122" s="98" t="str">
        <f t="shared" si="71"/>
        <v>0.99999991450564+0.00102513910291747i</v>
      </c>
      <c r="AA122" s="160">
        <f t="shared" si="83"/>
        <v>1.000000439960637</v>
      </c>
      <c r="AB122" s="160">
        <f t="shared" si="84"/>
        <v>1.0251388314515169E-3</v>
      </c>
      <c r="AC122" s="171" t="str">
        <f t="shared" si="85"/>
        <v>3.17235643777454-16.2236218525874i</v>
      </c>
      <c r="AD122" s="190">
        <f t="shared" si="86"/>
        <v>24.365915616815546</v>
      </c>
      <c r="AE122" s="169">
        <f t="shared" si="87"/>
        <v>-78.93602367383231</v>
      </c>
      <c r="AF122" s="98" t="str">
        <f t="shared" si="72"/>
        <v>-0.0000673063927557778</v>
      </c>
      <c r="AG122" s="98" t="str">
        <f t="shared" si="73"/>
        <v>6.93622344635286E-06i</v>
      </c>
      <c r="AH122" s="98">
        <f t="shared" si="88"/>
        <v>6.9362234463528598E-6</v>
      </c>
      <c r="AI122" s="98">
        <f t="shared" si="89"/>
        <v>1.5707963267948966</v>
      </c>
      <c r="AJ122" s="98" t="str">
        <f t="shared" si="74"/>
        <v>1+0.00697970123707055i</v>
      </c>
      <c r="AK122" s="98">
        <f t="shared" si="90"/>
        <v>1.0000243578180277</v>
      </c>
      <c r="AL122" s="98">
        <f t="shared" si="91"/>
        <v>6.9795878988079393E-3</v>
      </c>
      <c r="AM122" s="98" t="str">
        <f t="shared" si="75"/>
        <v>1+1.03340635374745i</v>
      </c>
      <c r="AN122" s="98">
        <f t="shared" si="92"/>
        <v>1.4380294475307522</v>
      </c>
      <c r="AO122" s="98">
        <f t="shared" si="93"/>
        <v>0.80182544988958204</v>
      </c>
      <c r="AP122" s="168" t="str">
        <f t="shared" si="94"/>
        <v>-9.95955660061042+9.77312264763133i</v>
      </c>
      <c r="AQ122" s="98">
        <f t="shared" si="95"/>
        <v>22.893808827100596</v>
      </c>
      <c r="AR122" s="169">
        <f t="shared" si="96"/>
        <v>135.54131325550915</v>
      </c>
      <c r="AS122" s="168" t="str">
        <f t="shared" si="97"/>
        <v>126.960182654802+192.583908656118i</v>
      </c>
      <c r="AT122" s="190">
        <f t="shared" si="98"/>
        <v>47.259724443916156</v>
      </c>
      <c r="AU122" s="169">
        <f t="shared" si="99"/>
        <v>56.605289581676935</v>
      </c>
      <c r="AV122" s="225"/>
      <c r="AX122">
        <f t="shared" si="100"/>
        <v>0</v>
      </c>
      <c r="AY122">
        <f t="shared" si="101"/>
        <v>0</v>
      </c>
    </row>
    <row r="123" spans="14:51" x14ac:dyDescent="0.25">
      <c r="N123" s="170">
        <v>5</v>
      </c>
      <c r="O123" s="199">
        <f t="shared" si="102"/>
        <v>112.20184543019634</v>
      </c>
      <c r="P123" s="189" t="str">
        <f t="shared" si="67"/>
        <v>87</v>
      </c>
      <c r="Q123" s="160" t="str">
        <f t="shared" si="68"/>
        <v>1+5.28738739984085i</v>
      </c>
      <c r="R123" s="160">
        <f t="shared" si="77"/>
        <v>5.3811212136501618</v>
      </c>
      <c r="S123" s="160">
        <f t="shared" si="78"/>
        <v>1.3838748548633828</v>
      </c>
      <c r="T123" s="160" t="str">
        <f t="shared" si="69"/>
        <v>1+0.00352492493322723i</v>
      </c>
      <c r="U123" s="160">
        <f t="shared" si="79"/>
        <v>1.0000062125285947</v>
      </c>
      <c r="V123" s="160">
        <f t="shared" si="80"/>
        <v>3.5249103341594232E-3</v>
      </c>
      <c r="W123" s="98" t="str">
        <f t="shared" si="70"/>
        <v>1-0.000499364365540525i</v>
      </c>
      <c r="X123" s="160">
        <f t="shared" si="81"/>
        <v>1.0000001246823769</v>
      </c>
      <c r="Y123" s="160">
        <f t="shared" si="82"/>
        <v>-4.9936432403257125E-4</v>
      </c>
      <c r="Z123" s="98" t="str">
        <f t="shared" si="71"/>
        <v>0.999999910476415+0.00104901766012842i</v>
      </c>
      <c r="AA123" s="160">
        <f t="shared" si="83"/>
        <v>1.0000004606953385</v>
      </c>
      <c r="AB123" s="160">
        <f t="shared" si="84"/>
        <v>1.0490173692474175E-3</v>
      </c>
      <c r="AC123" s="171" t="str">
        <f t="shared" si="85"/>
        <v>3.03592144342104-15.8801338965454i</v>
      </c>
      <c r="AD123" s="190">
        <f t="shared" si="86"/>
        <v>24.17298059588741</v>
      </c>
      <c r="AE123" s="169">
        <f t="shared" si="87"/>
        <v>-79.176941808742058</v>
      </c>
      <c r="AF123" s="98" t="str">
        <f t="shared" si="72"/>
        <v>-0.0000673063927557778</v>
      </c>
      <c r="AG123" s="98" t="str">
        <f t="shared" si="73"/>
        <v>7.09778884554634E-06i</v>
      </c>
      <c r="AH123" s="98">
        <f t="shared" si="88"/>
        <v>7.0977888455463398E-6</v>
      </c>
      <c r="AI123" s="98">
        <f t="shared" si="89"/>
        <v>1.5707963267948966</v>
      </c>
      <c r="AJ123" s="98" t="str">
        <f t="shared" si="74"/>
        <v>1+0.00714227936410761i</v>
      </c>
      <c r="AK123" s="98">
        <f t="shared" si="90"/>
        <v>1.0000255057519858</v>
      </c>
      <c r="AL123" s="98">
        <f t="shared" si="91"/>
        <v>7.1421579201384894E-3</v>
      </c>
      <c r="AM123" s="98" t="str">
        <f t="shared" si="75"/>
        <v>1+1.05747747996817i</v>
      </c>
      <c r="AN123" s="98">
        <f t="shared" si="92"/>
        <v>1.4554238628797564</v>
      </c>
      <c r="AO123" s="98">
        <f t="shared" si="93"/>
        <v>0.81332679709637257</v>
      </c>
      <c r="AP123" s="168" t="str">
        <f t="shared" si="94"/>
        <v>-9.95953373538027+9.55386060740843i</v>
      </c>
      <c r="AQ123" s="98">
        <f t="shared" si="95"/>
        <v>22.79823309198148</v>
      </c>
      <c r="AR123" s="169">
        <f t="shared" si="96"/>
        <v>136.1909773330753</v>
      </c>
      <c r="AS123" s="168" t="str">
        <f t="shared" si="97"/>
        <v>121.48022364086+187.163499550486i</v>
      </c>
      <c r="AT123" s="190">
        <f t="shared" si="98"/>
        <v>46.971213687868868</v>
      </c>
      <c r="AU123" s="169">
        <f t="shared" si="99"/>
        <v>57.014035524333231</v>
      </c>
      <c r="AV123" s="225"/>
      <c r="AX123">
        <f t="shared" si="100"/>
        <v>0</v>
      </c>
      <c r="AY123">
        <f t="shared" si="101"/>
        <v>0</v>
      </c>
    </row>
    <row r="124" spans="14:51" x14ac:dyDescent="0.25">
      <c r="N124" s="170">
        <v>6</v>
      </c>
      <c r="O124" s="199">
        <f t="shared" si="102"/>
        <v>114.81536214968835</v>
      </c>
      <c r="P124" s="189" t="str">
        <f t="shared" si="67"/>
        <v>87</v>
      </c>
      <c r="Q124" s="160" t="str">
        <f t="shared" si="68"/>
        <v>1+5.4105464737307i</v>
      </c>
      <c r="R124" s="160">
        <f t="shared" si="77"/>
        <v>5.5021825800676334</v>
      </c>
      <c r="S124" s="160">
        <f t="shared" si="78"/>
        <v>1.3880345345984113</v>
      </c>
      <c r="T124" s="160" t="str">
        <f t="shared" si="69"/>
        <v>1+0.00360703098248712i</v>
      </c>
      <c r="U124" s="160">
        <f t="shared" si="79"/>
        <v>1.0000065053150948</v>
      </c>
      <c r="V124" s="160">
        <f t="shared" si="80"/>
        <v>3.6070153393096228E-3</v>
      </c>
      <c r="W124" s="98" t="str">
        <f t="shared" si="70"/>
        <v>1-0.000510996055852344i</v>
      </c>
      <c r="X124" s="160">
        <f t="shared" si="81"/>
        <v>1.000000130558476</v>
      </c>
      <c r="Y124" s="160">
        <f t="shared" si="82"/>
        <v>-5.1099601137577055E-4</v>
      </c>
      <c r="Z124" s="98" t="str">
        <f t="shared" si="71"/>
        <v>0.999999906257299+0.00107345242038817i</v>
      </c>
      <c r="AA124" s="160">
        <f t="shared" si="83"/>
        <v>1.0000004824072364</v>
      </c>
      <c r="AB124" s="160">
        <f t="shared" si="84"/>
        <v>1.0734521087035678E-3</v>
      </c>
      <c r="AC124" s="171" t="str">
        <f t="shared" si="85"/>
        <v>2.90521180868073-15.542819196013i</v>
      </c>
      <c r="AD124" s="190">
        <f t="shared" si="86"/>
        <v>23.979738548983121</v>
      </c>
      <c r="AE124" s="169">
        <f t="shared" si="87"/>
        <v>-79.412636085451012</v>
      </c>
      <c r="AF124" s="98" t="str">
        <f t="shared" si="72"/>
        <v>-0.0000673063927557778</v>
      </c>
      <c r="AG124" s="98" t="str">
        <f t="shared" si="73"/>
        <v>7.26311758633608E-06i</v>
      </c>
      <c r="AH124" s="98">
        <f t="shared" si="88"/>
        <v>7.2631175863360798E-6</v>
      </c>
      <c r="AI124" s="98">
        <f t="shared" si="89"/>
        <v>1.5707963267948966</v>
      </c>
      <c r="AJ124" s="98" t="str">
        <f t="shared" si="74"/>
        <v>1+0.00730864442220275i</v>
      </c>
      <c r="AK124" s="98">
        <f t="shared" si="90"/>
        <v>1.0000267077849923</v>
      </c>
      <c r="AL124" s="98">
        <f t="shared" si="91"/>
        <v>7.3085142928330325E-3</v>
      </c>
      <c r="AM124" s="98" t="str">
        <f t="shared" si="75"/>
        <v>1+1.08210929474614i</v>
      </c>
      <c r="AN124" s="98">
        <f t="shared" si="92"/>
        <v>1.4734179738879216</v>
      </c>
      <c r="AO124" s="98">
        <f t="shared" si="93"/>
        <v>0.824813370858267</v>
      </c>
      <c r="AP124" s="168" t="str">
        <f t="shared" si="94"/>
        <v>-9.95950979265756+9.33966413514352i</v>
      </c>
      <c r="AQ124" s="98">
        <f t="shared" si="95"/>
        <v>22.704952094495834</v>
      </c>
      <c r="AR124" s="169">
        <f t="shared" si="96"/>
        <v>136.839578012647</v>
      </c>
      <c r="AS124" s="168" t="str">
        <f t="shared" si="97"/>
        <v>116.230225545723+181.932562522728i</v>
      </c>
      <c r="AT124" s="190">
        <f t="shared" si="98"/>
        <v>46.684690643478952</v>
      </c>
      <c r="AU124" s="169">
        <f t="shared" si="99"/>
        <v>57.426941927195934</v>
      </c>
      <c r="AV124" s="225"/>
      <c r="AX124">
        <f t="shared" si="100"/>
        <v>0</v>
      </c>
      <c r="AY124">
        <f t="shared" si="101"/>
        <v>0</v>
      </c>
    </row>
    <row r="125" spans="14:51" x14ac:dyDescent="0.25">
      <c r="N125" s="170">
        <v>7</v>
      </c>
      <c r="O125" s="199">
        <f t="shared" si="102"/>
        <v>117.48975549395293</v>
      </c>
      <c r="P125" s="189" t="str">
        <f t="shared" si="67"/>
        <v>87</v>
      </c>
      <c r="Q125" s="160" t="str">
        <f t="shared" si="68"/>
        <v>1+5.53657429097797i</v>
      </c>
      <c r="R125" s="160">
        <f t="shared" si="77"/>
        <v>5.6261580922969276</v>
      </c>
      <c r="S125" s="160">
        <f t="shared" si="78"/>
        <v>1.3921057181682421</v>
      </c>
      <c r="T125" s="160" t="str">
        <f t="shared" si="69"/>
        <v>1+0.00369104952731863i</v>
      </c>
      <c r="U125" s="160">
        <f t="shared" si="79"/>
        <v>1.0000068119001055</v>
      </c>
      <c r="V125" s="160">
        <f t="shared" si="80"/>
        <v>3.6910327653581132E-3</v>
      </c>
      <c r="W125" s="98" t="str">
        <f t="shared" si="70"/>
        <v>1-0.000522898683036808i</v>
      </c>
      <c r="X125" s="160">
        <f t="shared" si="81"/>
        <v>1.000000136711507</v>
      </c>
      <c r="Y125" s="160">
        <f t="shared" si="82"/>
        <v>-5.228986353793013E-4</v>
      </c>
      <c r="Z125" s="98" t="str">
        <f t="shared" si="71"/>
        <v>0.999999901839341+0.00109845633933003i</v>
      </c>
      <c r="AA125" s="160">
        <f t="shared" si="83"/>
        <v>1.0000005051423828</v>
      </c>
      <c r="AB125" s="160">
        <f t="shared" si="84"/>
        <v>1.0984560053539714E-3</v>
      </c>
      <c r="AC125" s="171" t="str">
        <f t="shared" si="85"/>
        <v>2.78000461288479-15.2116390399843i</v>
      </c>
      <c r="AD125" s="190">
        <f t="shared" si="86"/>
        <v>23.786202390161396</v>
      </c>
      <c r="AE125" s="169">
        <f t="shared" si="87"/>
        <v>-79.643198465577171</v>
      </c>
      <c r="AF125" s="98" t="str">
        <f t="shared" si="72"/>
        <v>-0.0000673063927557778</v>
      </c>
      <c r="AG125" s="98" t="str">
        <f t="shared" si="73"/>
        <v>0.0000074322973282088i</v>
      </c>
      <c r="AH125" s="98">
        <f t="shared" si="88"/>
        <v>7.4322973282088E-6</v>
      </c>
      <c r="AI125" s="98">
        <f t="shared" si="89"/>
        <v>1.5707963267948966</v>
      </c>
      <c r="AJ125" s="98" t="str">
        <f t="shared" si="74"/>
        <v>1+0.00747888462031189i</v>
      </c>
      <c r="AK125" s="98">
        <f t="shared" si="90"/>
        <v>1.0000279664665204</v>
      </c>
      <c r="AL125" s="98">
        <f t="shared" si="91"/>
        <v>7.4787451843906626E-3</v>
      </c>
      <c r="AM125" s="98" t="str">
        <f t="shared" si="75"/>
        <v>1+1.10731485819559i</v>
      </c>
      <c r="AN125" s="98">
        <f t="shared" si="92"/>
        <v>1.4920275450475837</v>
      </c>
      <c r="AO125" s="98">
        <f t="shared" si="93"/>
        <v>0.83627913810827981</v>
      </c>
      <c r="AP125" s="168" t="str">
        <f t="shared" si="94"/>
        <v>-9.95948472167247+9.13041965993073i</v>
      </c>
      <c r="AQ125" s="98">
        <f t="shared" si="95"/>
        <v>22.613958712481281</v>
      </c>
      <c r="AR125" s="169">
        <f t="shared" si="96"/>
        <v>137.48676457332314</v>
      </c>
      <c r="AS125" s="168" t="str">
        <f t="shared" si="97"/>
        <v>111.201234682237+176.882695382502i</v>
      </c>
      <c r="AT125" s="190">
        <f t="shared" si="98"/>
        <v>46.400161102642684</v>
      </c>
      <c r="AU125" s="169">
        <f t="shared" si="99"/>
        <v>57.84356610774617</v>
      </c>
      <c r="AV125" s="225"/>
      <c r="AX125">
        <f t="shared" si="100"/>
        <v>0</v>
      </c>
      <c r="AY125">
        <f t="shared" si="101"/>
        <v>0</v>
      </c>
    </row>
    <row r="126" spans="14:51" x14ac:dyDescent="0.25">
      <c r="N126" s="170">
        <v>8</v>
      </c>
      <c r="O126" s="199">
        <f t="shared" si="102"/>
        <v>120.22644346174135</v>
      </c>
      <c r="P126" s="189" t="str">
        <f t="shared" si="67"/>
        <v>87</v>
      </c>
      <c r="Q126" s="160" t="str">
        <f t="shared" si="68"/>
        <v>1+5.66553767319955i</v>
      </c>
      <c r="R126" s="160">
        <f t="shared" si="77"/>
        <v>5.7531136896852102</v>
      </c>
      <c r="S126" s="160">
        <f t="shared" si="78"/>
        <v>1.3960900240791196</v>
      </c>
      <c r="T126" s="160" t="str">
        <f t="shared" si="69"/>
        <v>1+0.00377702511546636i</v>
      </c>
      <c r="U126" s="160">
        <f t="shared" si="79"/>
        <v>1.000007132933922</v>
      </c>
      <c r="V126" s="160">
        <f t="shared" si="80"/>
        <v>3.7770071547089919E-3</v>
      </c>
      <c r="W126" s="98" t="str">
        <f t="shared" si="70"/>
        <v>1-0.000535078558024401i</v>
      </c>
      <c r="X126" s="160">
        <f t="shared" si="81"/>
        <v>1.0000001431545213</v>
      </c>
      <c r="Y126" s="160">
        <f t="shared" si="82"/>
        <v>-5.3507850695846287E-4</v>
      </c>
      <c r="Z126" s="98" t="str">
        <f t="shared" si="71"/>
        <v>0.999999897213172+0.00112404267436279i</v>
      </c>
      <c r="AA126" s="160">
        <f t="shared" si="83"/>
        <v>1.0000005289490042</v>
      </c>
      <c r="AB126" s="160">
        <f t="shared" si="84"/>
        <v>1.1240423165010055E-3</v>
      </c>
      <c r="AC126" s="171" t="str">
        <f t="shared" si="85"/>
        <v>2.66008412895815-14.8865496302186i</v>
      </c>
      <c r="AD126" s="190">
        <f t="shared" si="86"/>
        <v>23.592384529358036</v>
      </c>
      <c r="AE126" s="169">
        <f t="shared" si="87"/>
        <v>-79.868720251781966</v>
      </c>
      <c r="AF126" s="98" t="str">
        <f t="shared" si="72"/>
        <v>-0.0000673063927557778</v>
      </c>
      <c r="AG126" s="98" t="str">
        <f t="shared" si="73"/>
        <v>7.60541777250305E-06i</v>
      </c>
      <c r="AH126" s="98">
        <f t="shared" si="88"/>
        <v>7.6054177725030501E-6</v>
      </c>
      <c r="AI126" s="98">
        <f t="shared" si="89"/>
        <v>1.5707963267948966</v>
      </c>
      <c r="AJ126" s="98" t="str">
        <f t="shared" si="74"/>
        <v>1+0.00765309022204148i</v>
      </c>
      <c r="AK126" s="98">
        <f t="shared" si="90"/>
        <v>1.0000292844661833</v>
      </c>
      <c r="AL126" s="98">
        <f t="shared" si="91"/>
        <v>7.6529408139963413E-3</v>
      </c>
      <c r="AM126" s="98" t="str">
        <f t="shared" si="75"/>
        <v>1+1.13310753463991i</v>
      </c>
      <c r="AN126" s="98">
        <f t="shared" si="92"/>
        <v>1.5112685681432454</v>
      </c>
      <c r="AO126" s="98">
        <f t="shared" si="93"/>
        <v>0.84771812047964346</v>
      </c>
      <c r="AP126" s="168" t="str">
        <f t="shared" si="94"/>
        <v>-9.95945846926358+8.92601623639989i</v>
      </c>
      <c r="AQ126" s="98">
        <f t="shared" si="95"/>
        <v>22.525243443036604</v>
      </c>
      <c r="AR126" s="169">
        <f t="shared" si="96"/>
        <v>138.13218931074078</v>
      </c>
      <c r="AS126" s="168" t="str">
        <f t="shared" si="97"/>
        <v>106.384586296198+172.005926918063i</v>
      </c>
      <c r="AT126" s="190">
        <f t="shared" si="98"/>
        <v>46.117627972394629</v>
      </c>
      <c r="AU126" s="169">
        <f t="shared" si="99"/>
        <v>58.263469058958798</v>
      </c>
      <c r="AV126" s="225"/>
      <c r="AX126">
        <f t="shared" si="100"/>
        <v>0</v>
      </c>
      <c r="AY126">
        <f t="shared" si="101"/>
        <v>0</v>
      </c>
    </row>
    <row r="127" spans="14:51" x14ac:dyDescent="0.25">
      <c r="N127" s="170">
        <v>9</v>
      </c>
      <c r="O127" s="199">
        <f t="shared" si="102"/>
        <v>123.02687708123821</v>
      </c>
      <c r="P127" s="189" t="str">
        <f t="shared" si="67"/>
        <v>87</v>
      </c>
      <c r="Q127" s="160" t="str">
        <f t="shared" si="68"/>
        <v>1+5.7975049984877i</v>
      </c>
      <c r="R127" s="160">
        <f t="shared" si="77"/>
        <v>5.8831168786188384</v>
      </c>
      <c r="S127" s="160">
        <f t="shared" si="78"/>
        <v>1.3999890586151917</v>
      </c>
      <c r="T127" s="160" t="str">
        <f t="shared" si="69"/>
        <v>1+0.00386500333232512i</v>
      </c>
      <c r="U127" s="160">
        <f t="shared" si="79"/>
        <v>1.0000074690974856</v>
      </c>
      <c r="V127" s="160">
        <f t="shared" si="80"/>
        <v>3.864984087034627E-3</v>
      </c>
      <c r="W127" s="98" t="str">
        <f t="shared" si="70"/>
        <v>1-0.000547542138746061i</v>
      </c>
      <c r="X127" s="160">
        <f t="shared" si="81"/>
        <v>1.0000001499011857</v>
      </c>
      <c r="Y127" s="160">
        <f t="shared" si="82"/>
        <v>-5.4754208402792289E-4</v>
      </c>
      <c r="Z127" s="98" t="str">
        <f t="shared" si="71"/>
        <v>0.999999892368978+0.00115022499169996i</v>
      </c>
      <c r="AA127" s="160">
        <f t="shared" si="83"/>
        <v>1.0000005538775962</v>
      </c>
      <c r="AB127" s="160">
        <f t="shared" si="84"/>
        <v>1.1502246082441606E-3</v>
      </c>
      <c r="AC127" s="171" t="str">
        <f t="shared" si="85"/>
        <v>2.54524172273242-14.5675025120403i</v>
      </c>
      <c r="AD127" s="190">
        <f t="shared" si="86"/>
        <v>23.398296888827215</v>
      </c>
      <c r="AE127" s="169">
        <f t="shared" si="87"/>
        <v>-80.089292013136472</v>
      </c>
      <c r="AF127" s="98" t="str">
        <f t="shared" si="72"/>
        <v>-0.0000673063927557778</v>
      </c>
      <c r="AG127" s="98" t="str">
        <f t="shared" si="73"/>
        <v>7.78257070996987E-06i</v>
      </c>
      <c r="AH127" s="98">
        <f t="shared" si="88"/>
        <v>7.7825707099698707E-6</v>
      </c>
      <c r="AI127" s="98">
        <f t="shared" si="89"/>
        <v>1.5707963267948966</v>
      </c>
      <c r="AJ127" s="98" t="str">
        <f t="shared" si="74"/>
        <v>1+0.0078313535935074i</v>
      </c>
      <c r="AK127" s="98">
        <f t="shared" si="90"/>
        <v>1.000030664579395</v>
      </c>
      <c r="AL127" s="98">
        <f t="shared" si="91"/>
        <v>7.8311935001678067E-3</v>
      </c>
      <c r="AM127" s="98" t="str">
        <f t="shared" si="75"/>
        <v>1+1.15950099969754i</v>
      </c>
      <c r="AN127" s="98">
        <f t="shared" si="92"/>
        <v>1.5311572643917393</v>
      </c>
      <c r="AO127" s="98">
        <f t="shared" si="93"/>
        <v>0.85912440967272885</v>
      </c>
      <c r="AP127" s="168" t="str">
        <f t="shared" si="94"/>
        <v>-9.95943097976508+8.72634548588615i</v>
      </c>
      <c r="AQ127" s="98">
        <f t="shared" si="95"/>
        <v>22.438794442137926</v>
      </c>
      <c r="AR127" s="169">
        <f t="shared" si="96"/>
        <v>138.77550841480578</v>
      </c>
      <c r="AS127" s="168" t="str">
        <f t="shared" si="97"/>
        <v>101.771900522206+167.294694433875i</v>
      </c>
      <c r="AT127" s="190">
        <f t="shared" si="98"/>
        <v>45.837091330965137</v>
      </c>
      <c r="AU127" s="169">
        <f t="shared" si="99"/>
        <v>58.686216401669327</v>
      </c>
      <c r="AV127" s="225"/>
      <c r="AX127">
        <f t="shared" si="100"/>
        <v>0</v>
      </c>
      <c r="AY127">
        <f t="shared" si="101"/>
        <v>0</v>
      </c>
    </row>
    <row r="128" spans="14:51" x14ac:dyDescent="0.25">
      <c r="N128" s="170">
        <v>10</v>
      </c>
      <c r="O128" s="199">
        <f t="shared" si="102"/>
        <v>125.89254117941677</v>
      </c>
      <c r="P128" s="189" t="str">
        <f t="shared" si="67"/>
        <v>87</v>
      </c>
      <c r="Q128" s="160" t="str">
        <f t="shared" si="68"/>
        <v>1+5.9325462376651i</v>
      </c>
      <c r="R128" s="160">
        <f t="shared" si="77"/>
        <v>6.0162367691135907</v>
      </c>
      <c r="S128" s="160">
        <f t="shared" si="78"/>
        <v>1.4038044146601725</v>
      </c>
      <c r="T128" s="160" t="str">
        <f t="shared" si="69"/>
        <v>1+0.00395503082511006i</v>
      </c>
      <c r="U128" s="160">
        <f t="shared" si="79"/>
        <v>1.000007821103829</v>
      </c>
      <c r="V128" s="160">
        <f t="shared" si="80"/>
        <v>3.9550102034184723E-3</v>
      </c>
      <c r="W128" s="98" t="str">
        <f t="shared" si="70"/>
        <v>1-0.00056029603355726i</v>
      </c>
      <c r="X128" s="160">
        <f t="shared" si="81"/>
        <v>1.0000001569658103</v>
      </c>
      <c r="Y128" s="160">
        <f t="shared" si="82"/>
        <v>-5.6029597492571919E-4</v>
      </c>
      <c r="Z128" s="98" t="str">
        <f t="shared" si="71"/>
        <v>0.999999887296484+0.00117701717355275i</v>
      </c>
      <c r="AA128" s="160">
        <f t="shared" si="83"/>
        <v>1.0000005799810356</v>
      </c>
      <c r="AB128" s="160">
        <f t="shared" si="84"/>
        <v>1.1770167626724709E-3</v>
      </c>
      <c r="AC128" s="171" t="str">
        <f t="shared" si="85"/>
        <v>2.43527574037027-14.2544449824533i</v>
      </c>
      <c r="AD128" s="190">
        <f t="shared" si="86"/>
        <v>23.20395091933737</v>
      </c>
      <c r="AE128" s="169">
        <f t="shared" si="87"/>
        <v>-80.305003516832457</v>
      </c>
      <c r="AF128" s="98" t="str">
        <f t="shared" si="72"/>
        <v>-0.0000673063927557778</v>
      </c>
      <c r="AG128" s="98" t="str">
        <f t="shared" si="73"/>
        <v>7.96385006944162E-06i</v>
      </c>
      <c r="AH128" s="98">
        <f t="shared" si="88"/>
        <v>7.9638500694416194E-6</v>
      </c>
      <c r="AI128" s="98">
        <f t="shared" si="89"/>
        <v>1.5707963267948966</v>
      </c>
      <c r="AJ128" s="98" t="str">
        <f t="shared" si="74"/>
        <v>1+0.00801376925230882i</v>
      </c>
      <c r="AK128" s="98">
        <f t="shared" si="90"/>
        <v>1.0000321097332971</v>
      </c>
      <c r="AL128" s="98">
        <f t="shared" si="91"/>
        <v>8.0135977095022876E-3</v>
      </c>
      <c r="AM128" s="98" t="str">
        <f t="shared" si="75"/>
        <v>1+1.18650924753302i</v>
      </c>
      <c r="AN128" s="98">
        <f t="shared" si="92"/>
        <v>1.5517100871236782</v>
      </c>
      <c r="AO128" s="98">
        <f t="shared" si="93"/>
        <v>0.870492182377827</v>
      </c>
      <c r="AP128" s="168" t="str">
        <f t="shared" si="94"/>
        <v>-9.95940219488902+8.53130153896009i</v>
      </c>
      <c r="AQ128" s="98">
        <f t="shared" si="95"/>
        <v>22.354597573697017</v>
      </c>
      <c r="AR128" s="169">
        <f t="shared" si="96"/>
        <v>139.41638282191155</v>
      </c>
      <c r="AS128" s="168" t="str">
        <f t="shared" si="97"/>
        <v>97.3550778620221+162.741822316783i</v>
      </c>
      <c r="AT128" s="190">
        <f t="shared" si="98"/>
        <v>45.55854849303438</v>
      </c>
      <c r="AU128" s="169">
        <f t="shared" si="99"/>
        <v>59.111379305079076</v>
      </c>
      <c r="AV128" s="225"/>
      <c r="AX128">
        <f t="shared" si="100"/>
        <v>0</v>
      </c>
      <c r="AY128">
        <f t="shared" si="101"/>
        <v>0</v>
      </c>
    </row>
    <row r="129" spans="14:51" x14ac:dyDescent="0.25">
      <c r="N129" s="170">
        <v>11</v>
      </c>
      <c r="O129" s="199">
        <f t="shared" si="102"/>
        <v>128.82495516931343</v>
      </c>
      <c r="P129" s="189" t="str">
        <f t="shared" si="67"/>
        <v>87</v>
      </c>
      <c r="Q129" s="160" t="str">
        <f t="shared" si="68"/>
        <v>1+6.07073299138426i</v>
      </c>
      <c r="R129" s="160">
        <f t="shared" si="77"/>
        <v>6.1525441122092968</v>
      </c>
      <c r="S129" s="160">
        <f t="shared" si="78"/>
        <v>1.4075376706241192</v>
      </c>
      <c r="T129" s="160" t="str">
        <f t="shared" si="69"/>
        <v>1+0.00404715532758949i</v>
      </c>
      <c r="U129" s="160">
        <f t="shared" si="79"/>
        <v>1.0000081896995872</v>
      </c>
      <c r="V129" s="160">
        <f t="shared" si="80"/>
        <v>4.0471332310586207E-3</v>
      </c>
      <c r="W129" s="98" t="str">
        <f t="shared" si="70"/>
        <v>1-0.000573347004741846i</v>
      </c>
      <c r="X129" s="160">
        <f t="shared" si="81"/>
        <v>1.0000001643633805</v>
      </c>
      <c r="Y129" s="160">
        <f t="shared" si="82"/>
        <v>-5.7334694191701863E-4</v>
      </c>
      <c r="Z129" s="98" t="str">
        <f t="shared" si="71"/>
        <v>0.999999881984931+0.00120443342549063i</v>
      </c>
      <c r="AA129" s="160">
        <f t="shared" si="83"/>
        <v>1.0000006073146916</v>
      </c>
      <c r="AB129" s="160">
        <f t="shared" si="84"/>
        <v>1.2044329852244932E-3</v>
      </c>
      <c r="AC129" s="171" t="str">
        <f t="shared" si="85"/>
        <v>2.32999138550635-13.947320476189i</v>
      </c>
      <c r="AD129" s="190">
        <f t="shared" si="86"/>
        <v>23.009357616097166</v>
      </c>
      <c r="AE129" s="169">
        <f t="shared" si="87"/>
        <v>-80.515943665898519</v>
      </c>
      <c r="AF129" s="98" t="str">
        <f t="shared" si="72"/>
        <v>-0.0000673063927557778</v>
      </c>
      <c r="AG129" s="98" t="str">
        <f t="shared" si="73"/>
        <v>8.14935196763421E-06i</v>
      </c>
      <c r="AH129" s="98">
        <f t="shared" si="88"/>
        <v>8.1493519676342093E-6</v>
      </c>
      <c r="AI129" s="98">
        <f t="shared" si="89"/>
        <v>1.5707963267948966</v>
      </c>
      <c r="AJ129" s="98" t="str">
        <f t="shared" si="74"/>
        <v>1+0.0082004339176426i</v>
      </c>
      <c r="AK129" s="98">
        <f t="shared" si="90"/>
        <v>1.0000336229929661</v>
      </c>
      <c r="AL129" s="98">
        <f t="shared" si="91"/>
        <v>8.2002501065475044E-3</v>
      </c>
      <c r="AM129" s="98" t="str">
        <f t="shared" si="75"/>
        <v>1+1.21414659827685i</v>
      </c>
      <c r="AN129" s="98">
        <f t="shared" si="92"/>
        <v>1.5729437250287268</v>
      </c>
      <c r="AO129" s="98">
        <f t="shared" si="93"/>
        <v>0.88181571466403397</v>
      </c>
      <c r="AP129" s="168" t="str">
        <f t="shared" si="94"/>
        <v>-9.95937205360197+8.34078097928806i</v>
      </c>
      <c r="AQ129" s="98">
        <f t="shared" si="95"/>
        <v>22.272636467631514</v>
      </c>
      <c r="AR129" s="169">
        <f t="shared" si="96"/>
        <v>140.05447903650469</v>
      </c>
      <c r="AS129" s="168" t="str">
        <f t="shared" si="97"/>
        <v>93.1262942498868+158.340501603324i</v>
      </c>
      <c r="AT129" s="190">
        <f t="shared" si="98"/>
        <v>45.281994083728691</v>
      </c>
      <c r="AU129" s="169">
        <f t="shared" si="99"/>
        <v>59.538535370606255</v>
      </c>
      <c r="AV129" s="225"/>
      <c r="AX129">
        <f t="shared" si="100"/>
        <v>0</v>
      </c>
      <c r="AY129">
        <f t="shared" si="101"/>
        <v>0</v>
      </c>
    </row>
    <row r="130" spans="14:51" x14ac:dyDescent="0.25">
      <c r="N130" s="170">
        <v>12</v>
      </c>
      <c r="O130" s="199">
        <f t="shared" si="102"/>
        <v>131.82567385564084</v>
      </c>
      <c r="P130" s="189" t="str">
        <f t="shared" si="67"/>
        <v>87</v>
      </c>
      <c r="Q130" s="160" t="str">
        <f t="shared" si="68"/>
        <v>1+6.2121385280911i</v>
      </c>
      <c r="R130" s="160">
        <f t="shared" si="77"/>
        <v>6.2921113381911686</v>
      </c>
      <c r="S130" s="160">
        <f t="shared" si="78"/>
        <v>1.4111903894695716</v>
      </c>
      <c r="T130" s="160" t="str">
        <f t="shared" si="69"/>
        <v>1+0.00414142568539405i</v>
      </c>
      <c r="U130" s="160">
        <f t="shared" si="79"/>
        <v>1.0000085756665829</v>
      </c>
      <c r="V130" s="160">
        <f t="shared" si="80"/>
        <v>4.141402008545611E-3</v>
      </c>
      <c r="W130" s="98" t="str">
        <f t="shared" si="70"/>
        <v>1-0.000586701972097492i</v>
      </c>
      <c r="X130" s="160">
        <f t="shared" si="81"/>
        <v>1.0000001721095872</v>
      </c>
      <c r="Y130" s="160">
        <f t="shared" si="82"/>
        <v>-5.8670190477947727E-4</v>
      </c>
      <c r="Z130" s="98" t="str">
        <f t="shared" si="71"/>
        <v>0.999999876423052+0.00123248828397327i</v>
      </c>
      <c r="AA130" s="160">
        <f t="shared" si="83"/>
        <v>1.0000006359365425</v>
      </c>
      <c r="AB130" s="160">
        <f t="shared" si="84"/>
        <v>1.2324878122196212E-3</v>
      </c>
      <c r="AC130" s="171" t="str">
        <f t="shared" si="85"/>
        <v>2.22920058758548-13.6460689303481i</v>
      </c>
      <c r="AD130" s="190">
        <f t="shared" si="86"/>
        <v>22.814527534388887</v>
      </c>
      <c r="AE130" s="169">
        <f t="shared" si="87"/>
        <v>-80.722200442590321</v>
      </c>
      <c r="AF130" s="98" t="str">
        <f t="shared" si="72"/>
        <v>-0.0000673063927557778</v>
      </c>
      <c r="AG130" s="98" t="str">
        <f t="shared" si="73"/>
        <v>8.33917476010947E-06i</v>
      </c>
      <c r="AH130" s="98">
        <f t="shared" si="88"/>
        <v>8.3391747601094693E-6</v>
      </c>
      <c r="AI130" s="98">
        <f t="shared" si="89"/>
        <v>1.5707963267948966</v>
      </c>
      <c r="AJ130" s="98" t="str">
        <f t="shared" si="74"/>
        <v>1+0.00839144656158509i</v>
      </c>
      <c r="AK130" s="98">
        <f t="shared" si="90"/>
        <v>1.0000352075679115</v>
      </c>
      <c r="AL130" s="98">
        <f t="shared" si="91"/>
        <v>8.3912496048226797E-3</v>
      </c>
      <c r="AM130" s="98" t="str">
        <f t="shared" si="75"/>
        <v>1+1.24242770561822i</v>
      </c>
      <c r="AN130" s="98">
        <f t="shared" si="92"/>
        <v>1.5948751059840875</v>
      </c>
      <c r="AO130" s="98">
        <f t="shared" si="93"/>
        <v>0.89308939575079682</v>
      </c>
      <c r="AP130" s="168" t="str">
        <f t="shared" si="94"/>
        <v>-9.95934049199536+8.15468278879228i</v>
      </c>
      <c r="AQ130" s="98">
        <f t="shared" si="95"/>
        <v>22.192892586443339</v>
      </c>
      <c r="AR130" s="169">
        <f t="shared" si="96"/>
        <v>140.68946991721248</v>
      </c>
      <c r="AS130" s="168" t="str">
        <f t="shared" si="97"/>
        <v>89.0779957642628+154.084270518925i</v>
      </c>
      <c r="AT130" s="190">
        <f t="shared" si="98"/>
        <v>45.007420120832236</v>
      </c>
      <c r="AU130" s="169">
        <f t="shared" si="99"/>
        <v>59.967269474622228</v>
      </c>
      <c r="AV130" s="225"/>
      <c r="AX130">
        <f t="shared" si="100"/>
        <v>0</v>
      </c>
      <c r="AY130">
        <f t="shared" si="101"/>
        <v>0</v>
      </c>
    </row>
    <row r="131" spans="14:51" x14ac:dyDescent="0.25">
      <c r="N131" s="170">
        <v>13</v>
      </c>
      <c r="O131" s="199">
        <f t="shared" si="102"/>
        <v>134.89628825916537</v>
      </c>
      <c r="P131" s="189" t="str">
        <f t="shared" si="67"/>
        <v>87</v>
      </c>
      <c r="Q131" s="160" t="str">
        <f t="shared" si="68"/>
        <v>1+6.35683782287289i</v>
      </c>
      <c r="R131" s="160">
        <f t="shared" si="77"/>
        <v>6.435012595660349</v>
      </c>
      <c r="S131" s="160">
        <f t="shared" si="78"/>
        <v>1.4147641178314807</v>
      </c>
      <c r="T131" s="160" t="str">
        <f t="shared" si="69"/>
        <v>1+0.00423789188191525i</v>
      </c>
      <c r="U131" s="160">
        <f t="shared" si="79"/>
        <v>1.0000089798234828</v>
      </c>
      <c r="V131" s="160">
        <f t="shared" si="80"/>
        <v>4.2378665117273643E-3</v>
      </c>
      <c r="W131" s="98" t="str">
        <f t="shared" si="70"/>
        <v>1-0.000600368016604662i</v>
      </c>
      <c r="X131" s="160">
        <f t="shared" si="81"/>
        <v>1.0000001802208613</v>
      </c>
      <c r="Y131" s="160">
        <f t="shared" si="82"/>
        <v>-6.0036794447211031E-4</v>
      </c>
      <c r="Z131" s="98" t="str">
        <f t="shared" si="71"/>
        <v>0.99999987059905+0.00126119662405798i</v>
      </c>
      <c r="AA131" s="160">
        <f t="shared" si="83"/>
        <v>1.0000006659072991</v>
      </c>
      <c r="AB131" s="160">
        <f t="shared" si="84"/>
        <v>1.2611961185648559E-3</v>
      </c>
      <c r="AC131" s="171" t="str">
        <f t="shared" si="85"/>
        <v>2.13272186276013-13.3506271283331i</v>
      </c>
      <c r="AD131" s="190">
        <f t="shared" si="86"/>
        <v>22.619470804890671</v>
      </c>
      <c r="AE131" s="169">
        <f t="shared" si="87"/>
        <v>-80.923860857136376</v>
      </c>
      <c r="AF131" s="98" t="str">
        <f t="shared" si="72"/>
        <v>-0.0000673063927557778</v>
      </c>
      <c r="AG131" s="98" t="str">
        <f t="shared" si="73"/>
        <v>8.53341909342455E-06i</v>
      </c>
      <c r="AH131" s="98">
        <f t="shared" si="88"/>
        <v>8.5334190934245499E-6</v>
      </c>
      <c r="AI131" s="98">
        <f t="shared" si="89"/>
        <v>1.5707963267948966</v>
      </c>
      <c r="AJ131" s="98" t="str">
        <f t="shared" si="74"/>
        <v>1+0.00858690846156844i</v>
      </c>
      <c r="AK131" s="98">
        <f t="shared" si="90"/>
        <v>1.0000368668188826</v>
      </c>
      <c r="AL131" s="98">
        <f t="shared" si="91"/>
        <v>8.5866974190154186E-3</v>
      </c>
      <c r="AM131" s="98" t="str">
        <f t="shared" si="75"/>
        <v>1+1.27136756457457i</v>
      </c>
      <c r="AN131" s="98">
        <f t="shared" si="92"/>
        <v>1.6175214014819936</v>
      </c>
      <c r="AO131" s="98">
        <f t="shared" si="93"/>
        <v>0.90430774108563705</v>
      </c>
      <c r="AP131" s="168" t="str">
        <f t="shared" si="94"/>
        <v>-9.95930744315035+7.97290829408261i</v>
      </c>
      <c r="AQ131" s="98">
        <f t="shared" si="95"/>
        <v>22.11534529973774</v>
      </c>
      <c r="AR131" s="169">
        <f t="shared" si="96"/>
        <v>141.32103542315076</v>
      </c>
      <c r="AS131" s="168" t="str">
        <f t="shared" si="97"/>
        <v>85.2028930407348+149.966995958504i</v>
      </c>
      <c r="AT131" s="190">
        <f t="shared" si="98"/>
        <v>44.734816104628401</v>
      </c>
      <c r="AU131" s="169">
        <f t="shared" si="99"/>
        <v>60.397174566014328</v>
      </c>
      <c r="AV131" s="225"/>
      <c r="AX131">
        <f t="shared" si="100"/>
        <v>0</v>
      </c>
      <c r="AY131">
        <f t="shared" si="101"/>
        <v>0</v>
      </c>
    </row>
    <row r="132" spans="14:51" x14ac:dyDescent="0.25">
      <c r="N132" s="170">
        <v>14</v>
      </c>
      <c r="O132" s="199">
        <f t="shared" si="102"/>
        <v>138.0384264602886</v>
      </c>
      <c r="P132" s="189" t="str">
        <f t="shared" si="67"/>
        <v>87</v>
      </c>
      <c r="Q132" s="160" t="str">
        <f t="shared" si="68"/>
        <v>1+6.50490759721108i</v>
      </c>
      <c r="R132" s="160">
        <f t="shared" si="77"/>
        <v>6.5813237914764855</v>
      </c>
      <c r="S132" s="160">
        <f t="shared" si="78"/>
        <v>1.4182603852255364</v>
      </c>
      <c r="T132" s="160" t="str">
        <f t="shared" si="69"/>
        <v>1+0.00433660506480738i</v>
      </c>
      <c r="U132" s="160">
        <f t="shared" si="79"/>
        <v>1.0000094030275355</v>
      </c>
      <c r="V132" s="160">
        <f t="shared" si="80"/>
        <v>4.3365778801750894E-3</v>
      </c>
      <c r="W132" s="98" t="str">
        <f t="shared" si="70"/>
        <v>1-0.000614352384181046i</v>
      </c>
      <c r="X132" s="160">
        <f t="shared" si="81"/>
        <v>1.0000001887144081</v>
      </c>
      <c r="Y132" s="160">
        <f t="shared" si="82"/>
        <v>-6.1435230688962512E-4</v>
      </c>
      <c r="Z132" s="98" t="str">
        <f t="shared" si="71"/>
        <v>0.999999864500571+0.00129057366728668i</v>
      </c>
      <c r="AA132" s="160">
        <f t="shared" si="83"/>
        <v>1.0000006972905324</v>
      </c>
      <c r="AB132" s="160">
        <f t="shared" si="84"/>
        <v>1.2905731256410593E-3</v>
      </c>
      <c r="AC132" s="171" t="str">
        <f t="shared" si="85"/>
        <v>2.04038016859735-13.0609290237946i</v>
      </c>
      <c r="AD132" s="190">
        <f t="shared" si="86"/>
        <v>22.424197148672338</v>
      </c>
      <c r="AE132" s="169">
        <f t="shared" si="87"/>
        <v>-81.121010901528834</v>
      </c>
      <c r="AF132" s="98" t="str">
        <f t="shared" si="72"/>
        <v>-0.0000673063927557778</v>
      </c>
      <c r="AG132" s="98" t="str">
        <f t="shared" si="73"/>
        <v>8.73218795849613E-06i</v>
      </c>
      <c r="AH132" s="98">
        <f t="shared" si="88"/>
        <v>8.7321879584961307E-6</v>
      </c>
      <c r="AI132" s="98">
        <f t="shared" si="89"/>
        <v>1.5707963267948966</v>
      </c>
      <c r="AJ132" s="98" t="str">
        <f t="shared" si="74"/>
        <v>1+0.0087869232540793i</v>
      </c>
      <c r="AK132" s="98">
        <f t="shared" si="90"/>
        <v>1.0000386042649918</v>
      </c>
      <c r="AL132" s="98">
        <f t="shared" si="91"/>
        <v>8.7866971183809765E-3</v>
      </c>
      <c r="AM132" s="98" t="str">
        <f t="shared" si="75"/>
        <v>1+1.30098151944221i</v>
      </c>
      <c r="AN132" s="98">
        <f t="shared" si="92"/>
        <v>1.6409000316686455</v>
      </c>
      <c r="AO132" s="98">
        <f t="shared" si="93"/>
        <v>0.91546540465940918</v>
      </c>
      <c r="AP132" s="168" t="str">
        <f t="shared" si="94"/>
        <v>-9.95927283699641+7.7953611141303i</v>
      </c>
      <c r="AQ132" s="98">
        <f t="shared" si="95"/>
        <v>22.039971966055994</v>
      </c>
      <c r="AR132" s="169">
        <f t="shared" si="96"/>
        <v>141.94886331647731</v>
      </c>
      <c r="AS132" s="168" t="str">
        <f t="shared" si="97"/>
        <v>81.4939554362465+145.982855876942i</v>
      </c>
      <c r="AT132" s="190">
        <f t="shared" si="98"/>
        <v>44.464169114728335</v>
      </c>
      <c r="AU132" s="169">
        <f t="shared" si="99"/>
        <v>60.827852414948474</v>
      </c>
      <c r="AV132" s="225"/>
      <c r="AX132">
        <f t="shared" si="100"/>
        <v>0</v>
      </c>
      <c r="AY132">
        <f t="shared" si="101"/>
        <v>0</v>
      </c>
    </row>
    <row r="133" spans="14:51" x14ac:dyDescent="0.25">
      <c r="N133" s="170">
        <v>15</v>
      </c>
      <c r="O133" s="199">
        <f t="shared" si="102"/>
        <v>141.25375446227542</v>
      </c>
      <c r="P133" s="189" t="str">
        <f t="shared" si="67"/>
        <v>87</v>
      </c>
      <c r="Q133" s="160" t="str">
        <f t="shared" si="68"/>
        <v>1+6.65642635965993i</v>
      </c>
      <c r="R133" s="160">
        <f t="shared" si="77"/>
        <v>6.7311226315953823</v>
      </c>
      <c r="S133" s="160">
        <f t="shared" si="78"/>
        <v>1.4216807033396961</v>
      </c>
      <c r="T133" s="160" t="str">
        <f t="shared" si="69"/>
        <v>1+0.00443761757310661i</v>
      </c>
      <c r="U133" s="160">
        <f t="shared" si="79"/>
        <v>1.0000098461763889</v>
      </c>
      <c r="V133" s="160">
        <f t="shared" si="80"/>
        <v>4.4375884442637943E-3</v>
      </c>
      <c r="W133" s="98" t="str">
        <f t="shared" si="70"/>
        <v>1-0.000628662489523438i</v>
      </c>
      <c r="X133" s="160">
        <f t="shared" si="81"/>
        <v>1.0000001976082433</v>
      </c>
      <c r="Y133" s="160">
        <f t="shared" si="82"/>
        <v>-6.2866240670418942E-4</v>
      </c>
      <c r="Z133" s="98" t="str">
        <f t="shared" si="71"/>
        <v>0.99999985811468+0.00132063498975653i</v>
      </c>
      <c r="AA133" s="160">
        <f t="shared" si="83"/>
        <v>1.0000007301528115</v>
      </c>
      <c r="AB133" s="160">
        <f t="shared" si="84"/>
        <v>1.3206344093728128E-3</v>
      </c>
      <c r="AC133" s="171" t="str">
        <f t="shared" si="85"/>
        <v>1.95200675373785-12.776906045332i</v>
      </c>
      <c r="AD133" s="190">
        <f t="shared" si="86"/>
        <v>22.228715891851877</v>
      </c>
      <c r="AE133" s="169">
        <f t="shared" si="87"/>
        <v>-81.313735508062166</v>
      </c>
      <c r="AF133" s="98" t="str">
        <f t="shared" si="72"/>
        <v>-0.0000673063927557778</v>
      </c>
      <c r="AG133" s="98" t="str">
        <f t="shared" si="73"/>
        <v>8.93558674520747E-06i</v>
      </c>
      <c r="AH133" s="98">
        <f t="shared" si="88"/>
        <v>8.9355867452074707E-6</v>
      </c>
      <c r="AI133" s="98">
        <f t="shared" si="89"/>
        <v>1.5707963267948966</v>
      </c>
      <c r="AJ133" s="98" t="str">
        <f t="shared" si="74"/>
        <v>1+0.00899159698960815i</v>
      </c>
      <c r="AK133" s="98">
        <f t="shared" si="90"/>
        <v>1.0000404235911784</v>
      </c>
      <c r="AL133" s="98">
        <f t="shared" si="91"/>
        <v>8.9913546813707862E-3</v>
      </c>
      <c r="AM133" s="98" t="str">
        <f t="shared" si="75"/>
        <v>1+1.33128527193198i</v>
      </c>
      <c r="AN133" s="98">
        <f t="shared" si="92"/>
        <v>1.6650286710032973</v>
      </c>
      <c r="AO133" s="98">
        <f t="shared" si="93"/>
        <v>0.92655719049868268</v>
      </c>
      <c r="AP133" s="168" t="str">
        <f t="shared" si="94"/>
        <v>-9.95923660016244+7.62194710915744i</v>
      </c>
      <c r="AQ133" s="98">
        <f t="shared" si="95"/>
        <v>21.966748021347335</v>
      </c>
      <c r="AR133" s="169">
        <f t="shared" si="96"/>
        <v>142.57264981772585</v>
      </c>
      <c r="AS133" s="168" t="str">
        <f t="shared" si="97"/>
        <v>77.9444049906042+142.126322557215i</v>
      </c>
      <c r="AT133" s="190">
        <f t="shared" si="98"/>
        <v>44.195463913199205</v>
      </c>
      <c r="AU133" s="169">
        <f t="shared" si="99"/>
        <v>61.258914309663638</v>
      </c>
      <c r="AV133" s="225"/>
      <c r="AX133">
        <f t="shared" si="100"/>
        <v>0</v>
      </c>
      <c r="AY133">
        <f t="shared" si="101"/>
        <v>0</v>
      </c>
    </row>
    <row r="134" spans="14:51" x14ac:dyDescent="0.25">
      <c r="N134" s="170">
        <v>16</v>
      </c>
      <c r="O134" s="199">
        <f t="shared" si="102"/>
        <v>144.54397707459285</v>
      </c>
      <c r="P134" s="189" t="str">
        <f t="shared" si="67"/>
        <v>87</v>
      </c>
      <c r="Q134" s="160" t="str">
        <f t="shared" si="68"/>
        <v>1+6.8114744474729i</v>
      </c>
      <c r="R134" s="160">
        <f t="shared" si="77"/>
        <v>6.8844886628257465</v>
      </c>
      <c r="S134" s="160">
        <f t="shared" si="78"/>
        <v>1.4250265654039262</v>
      </c>
      <c r="T134" s="160" t="str">
        <f t="shared" si="69"/>
        <v>1+0.00454098296498192i</v>
      </c>
      <c r="U134" s="160">
        <f t="shared" si="79"/>
        <v>1.000010310209994</v>
      </c>
      <c r="V134" s="160">
        <f t="shared" si="80"/>
        <v>4.5409517528818832E-3</v>
      </c>
      <c r="W134" s="98" t="str">
        <f t="shared" si="70"/>
        <v>1-0.000643305920039107i</v>
      </c>
      <c r="X134" s="160">
        <f t="shared" si="81"/>
        <v>1.0000002069212319</v>
      </c>
      <c r="Y134" s="160">
        <f t="shared" si="82"/>
        <v>-6.4330583129668421E-4</v>
      </c>
      <c r="Z134" s="98" t="str">
        <f t="shared" si="71"/>
        <v>0.999999851427831+0.00135139653037862i</v>
      </c>
      <c r="AA134" s="160">
        <f t="shared" si="83"/>
        <v>1.0000007645638409</v>
      </c>
      <c r="AB134" s="160">
        <f t="shared" si="84"/>
        <v>1.351395908486288E-3</v>
      </c>
      <c r="AC134" s="171" t="str">
        <f t="shared" si="85"/>
        <v>1.86743900354938-12.4984873827002i</v>
      </c>
      <c r="AD134" s="190">
        <f t="shared" si="86"/>
        <v>22.033035979901655</v>
      </c>
      <c r="AE134" s="169">
        <f t="shared" si="87"/>
        <v>-81.502118512332672</v>
      </c>
      <c r="AF134" s="98" t="str">
        <f t="shared" si="72"/>
        <v>-0.0000673063927557778</v>
      </c>
      <c r="AG134" s="98" t="str">
        <f t="shared" si="73"/>
        <v>0.0000091437232982876i</v>
      </c>
      <c r="AH134" s="98">
        <f t="shared" si="88"/>
        <v>9.1437232982876005E-6</v>
      </c>
      <c r="AI134" s="98">
        <f t="shared" si="89"/>
        <v>1.5707963267948966</v>
      </c>
      <c r="AJ134" s="98" t="str">
        <f t="shared" si="74"/>
        <v>1+0.00920103818887875i</v>
      </c>
      <c r="AK134" s="98">
        <f t="shared" si="90"/>
        <v>1.0000423286560189</v>
      </c>
      <c r="AL134" s="98">
        <f t="shared" si="91"/>
        <v>9.2007785515181312E-3</v>
      </c>
      <c r="AM134" s="98" t="str">
        <f t="shared" si="75"/>
        <v>1+1.36229488949458i</v>
      </c>
      <c r="AN134" s="98">
        <f t="shared" si="92"/>
        <v>1.6899252545432446</v>
      </c>
      <c r="AO134" s="98">
        <f t="shared" si="93"/>
        <v>0.93757806328387883</v>
      </c>
      <c r="AP134" s="168" t="str">
        <f t="shared" si="94"/>
        <v>-9.95919865582182+7.4525743307132i</v>
      </c>
      <c r="AQ134" s="98">
        <f t="shared" si="95"/>
        <v>21.895647073366383</v>
      </c>
      <c r="AR134" s="169">
        <f t="shared" si="96"/>
        <v>143.19210021097948</v>
      </c>
      <c r="AS134" s="168" t="str">
        <f t="shared" si="97"/>
        <v>74.5477102270761+138.392146723619i</v>
      </c>
      <c r="AT134" s="190">
        <f t="shared" si="98"/>
        <v>43.92868305326806</v>
      </c>
      <c r="AU134" s="169">
        <f t="shared" si="99"/>
        <v>61.689981698646882</v>
      </c>
      <c r="AV134" s="225"/>
      <c r="AX134">
        <f t="shared" si="100"/>
        <v>0</v>
      </c>
      <c r="AY134">
        <f t="shared" si="101"/>
        <v>0</v>
      </c>
    </row>
    <row r="135" spans="14:51" x14ac:dyDescent="0.25">
      <c r="N135" s="170">
        <v>17</v>
      </c>
      <c r="O135" s="199">
        <f t="shared" si="102"/>
        <v>147.91083881682084</v>
      </c>
      <c r="P135" s="189" t="str">
        <f t="shared" si="67"/>
        <v>87</v>
      </c>
      <c r="Q135" s="160" t="str">
        <f t="shared" si="68"/>
        <v>1+6.97013406919844i</v>
      </c>
      <c r="R135" s="160">
        <f t="shared" si="77"/>
        <v>7.0415033155286384</v>
      </c>
      <c r="S135" s="160">
        <f t="shared" si="78"/>
        <v>1.4282994456333544</v>
      </c>
      <c r="T135" s="160" t="str">
        <f t="shared" si="69"/>
        <v>1+0.00464675604613228i</v>
      </c>
      <c r="U135" s="160">
        <f t="shared" si="79"/>
        <v>1.0000107961125981</v>
      </c>
      <c r="V135" s="160">
        <f t="shared" si="80"/>
        <v>4.6467226017840348E-3</v>
      </c>
      <c r="W135" s="98" t="str">
        <f t="shared" si="70"/>
        <v>1-0.000658290439868742i</v>
      </c>
      <c r="X135" s="160">
        <f t="shared" si="81"/>
        <v>1.0000002166731281</v>
      </c>
      <c r="Y135" s="160">
        <f t="shared" si="82"/>
        <v>-6.5829034477952379E-4</v>
      </c>
      <c r="Z135" s="98" t="str">
        <f t="shared" si="71"/>
        <v>0.99999984442584+0.00138287459932897i</v>
      </c>
      <c r="AA135" s="160">
        <f t="shared" si="83"/>
        <v>1.0000008005966103</v>
      </c>
      <c r="AB135" s="160">
        <f t="shared" si="84"/>
        <v>1.3828739329593592E-3</v>
      </c>
      <c r="AC135" s="171" t="str">
        <f t="shared" si="85"/>
        <v>1.78652028272205-12.2256002552813i</v>
      </c>
      <c r="AD135" s="190">
        <f t="shared" si="86"/>
        <v>21.837165991597178</v>
      </c>
      <c r="AE135" s="169">
        <f t="shared" si="87"/>
        <v>-81.686242620423386</v>
      </c>
      <c r="AF135" s="98" t="str">
        <f t="shared" si="72"/>
        <v>-0.0000673063927557778</v>
      </c>
      <c r="AG135" s="98" t="str">
        <f t="shared" si="73"/>
        <v>9.35670797449197E-06i</v>
      </c>
      <c r="AH135" s="98">
        <f t="shared" si="88"/>
        <v>9.3567079744919703E-6</v>
      </c>
      <c r="AI135" s="98">
        <f t="shared" si="89"/>
        <v>1.5707963267948966</v>
      </c>
      <c r="AJ135" s="98" t="str">
        <f t="shared" si="74"/>
        <v>1+0.00941535790038723i</v>
      </c>
      <c r="AK135" s="98">
        <f t="shared" si="90"/>
        <v>1.0000443234999099</v>
      </c>
      <c r="AL135" s="98">
        <f t="shared" si="91"/>
        <v>9.4150796946089205E-3</v>
      </c>
      <c r="AM135" s="98" t="str">
        <f t="shared" si="75"/>
        <v>1+1.39402681383968i</v>
      </c>
      <c r="AN135" s="98">
        <f t="shared" si="92"/>
        <v>1.7156079848566836</v>
      </c>
      <c r="AO135" s="98">
        <f t="shared" si="93"/>
        <v>0.94852315805067444</v>
      </c>
      <c r="AP135" s="168" t="str">
        <f t="shared" si="94"/>
        <v>-9.95915892352927+7.28715297291209i</v>
      </c>
      <c r="AQ135" s="98">
        <f t="shared" si="95"/>
        <v>21.826641001252085</v>
      </c>
      <c r="AR135" s="169">
        <f t="shared" si="96"/>
        <v>143.80692939644348</v>
      </c>
      <c r="AS135" s="168" t="str">
        <f t="shared" si="97"/>
        <v>71.2975798301706+134.775342467292i</v>
      </c>
      <c r="AT135" s="190">
        <f t="shared" si="98"/>
        <v>43.663806992849253</v>
      </c>
      <c r="AU135" s="169">
        <f t="shared" si="99"/>
        <v>62.120686776020072</v>
      </c>
      <c r="AV135" s="225"/>
      <c r="AX135">
        <f t="shared" si="100"/>
        <v>0</v>
      </c>
      <c r="AY135">
        <f t="shared" si="101"/>
        <v>0</v>
      </c>
    </row>
    <row r="136" spans="14:51" x14ac:dyDescent="0.25">
      <c r="N136" s="170">
        <v>18</v>
      </c>
      <c r="O136" s="199">
        <f t="shared" si="102"/>
        <v>151.3561248436209</v>
      </c>
      <c r="P136" s="189" t="str">
        <f t="shared" si="67"/>
        <v>87</v>
      </c>
      <c r="Q136" s="160" t="str">
        <f t="shared" si="68"/>
        <v>1+7.1324893482681i</v>
      </c>
      <c r="R136" s="160">
        <f t="shared" si="77"/>
        <v>7.2022499472843826</v>
      </c>
      <c r="S136" s="160">
        <f t="shared" si="78"/>
        <v>1.4315007987402388</v>
      </c>
      <c r="T136" s="160" t="str">
        <f t="shared" si="69"/>
        <v>1+0.00475499289884539i</v>
      </c>
      <c r="U136" s="160">
        <f t="shared" si="79"/>
        <v>1.0000113049148336</v>
      </c>
      <c r="V136" s="160">
        <f t="shared" si="80"/>
        <v>4.7549570626024742E-3</v>
      </c>
      <c r="W136" s="98" t="str">
        <f t="shared" si="70"/>
        <v>1-0.000673623994003098i</v>
      </c>
      <c r="X136" s="160">
        <f t="shared" si="81"/>
        <v>1.0000002268846169</v>
      </c>
      <c r="Y136" s="160">
        <f t="shared" si="82"/>
        <v>-6.7362389211316626E-4</v>
      </c>
      <c r="Z136" s="98" t="str">
        <f t="shared" si="71"/>
        <v>0.999999837093856+0.00141508588669639i</v>
      </c>
      <c r="AA136" s="160">
        <f t="shared" si="83"/>
        <v>1.0000008383275512</v>
      </c>
      <c r="AB136" s="160">
        <f t="shared" si="84"/>
        <v>1.4150851726685196E-3</v>
      </c>
      <c r="AC136" s="171" t="str">
        <f t="shared" si="85"/>
        <v>1.70909977566348-11.9581701635786i</v>
      </c>
      <c r="AD136" s="190">
        <f t="shared" si="86"/>
        <v>21.641114152601915</v>
      </c>
      <c r="AE136" s="169">
        <f t="shared" si="87"/>
        <v>-81.866189380011633</v>
      </c>
      <c r="AF136" s="98" t="str">
        <f t="shared" si="72"/>
        <v>-0.0000673063927557778</v>
      </c>
      <c r="AG136" s="98" t="str">
        <f t="shared" si="73"/>
        <v>9.57465370111508E-06i</v>
      </c>
      <c r="AH136" s="98">
        <f t="shared" si="88"/>
        <v>9.5746537011150792E-6</v>
      </c>
      <c r="AI136" s="98">
        <f t="shared" si="89"/>
        <v>1.5707963267948966</v>
      </c>
      <c r="AJ136" s="98" t="str">
        <f t="shared" si="74"/>
        <v>1+0.00963466975928148i</v>
      </c>
      <c r="AK136" s="98">
        <f t="shared" si="90"/>
        <v>1.0000464123536319</v>
      </c>
      <c r="AL136" s="98">
        <f t="shared" si="91"/>
        <v>9.6343716571664021E-3</v>
      </c>
      <c r="AM136" s="98" t="str">
        <f t="shared" si="75"/>
        <v>1+1.42649786965362i</v>
      </c>
      <c r="AN136" s="98">
        <f t="shared" si="92"/>
        <v>1.7420953395627681</v>
      </c>
      <c r="AO136" s="98">
        <f t="shared" si="93"/>
        <v>0.95938778894170296</v>
      </c>
      <c r="AP136" s="168" t="str">
        <f t="shared" si="94"/>
        <v>-9.95911731905133+7.12559532480694i</v>
      </c>
      <c r="AQ136" s="98">
        <f t="shared" si="95"/>
        <v>21.759700059524974</v>
      </c>
      <c r="AR136" s="169">
        <f t="shared" si="96"/>
        <v>144.41686238853126</v>
      </c>
      <c r="AS136" s="168" t="str">
        <f t="shared" si="97"/>
        <v>68.1879562350446+131.271172951355i</v>
      </c>
      <c r="AT136" s="190">
        <f t="shared" si="98"/>
        <v>43.400814212126903</v>
      </c>
      <c r="AU136" s="169">
        <f t="shared" si="99"/>
        <v>62.550673008519652</v>
      </c>
      <c r="AV136" s="225"/>
      <c r="AX136">
        <f t="shared" si="100"/>
        <v>0</v>
      </c>
      <c r="AY136">
        <f t="shared" si="101"/>
        <v>0</v>
      </c>
    </row>
    <row r="137" spans="14:51" x14ac:dyDescent="0.25">
      <c r="N137" s="170">
        <v>19</v>
      </c>
      <c r="O137" s="199">
        <f t="shared" si="102"/>
        <v>154.8816618912482</v>
      </c>
      <c r="P137" s="189" t="str">
        <f t="shared" si="67"/>
        <v>87</v>
      </c>
      <c r="Q137" s="160" t="str">
        <f t="shared" si="68"/>
        <v>1+7.29862636759987i</v>
      </c>
      <c r="R137" s="160">
        <f t="shared" si="77"/>
        <v>7.3668138875516656</v>
      </c>
      <c r="S137" s="160">
        <f t="shared" si="78"/>
        <v>1.4346320595103597</v>
      </c>
      <c r="T137" s="160" t="str">
        <f t="shared" si="69"/>
        <v>1+0.00486575091173323i</v>
      </c>
      <c r="U137" s="160">
        <f t="shared" si="79"/>
        <v>1.000011837695902</v>
      </c>
      <c r="V137" s="160">
        <f t="shared" si="80"/>
        <v>4.8657125125316685E-3</v>
      </c>
      <c r="W137" s="98" t="str">
        <f t="shared" si="70"/>
        <v>1-0.000689314712495543i</v>
      </c>
      <c r="X137" s="160">
        <f t="shared" si="81"/>
        <v>1.0000002375773582</v>
      </c>
      <c r="Y137" s="160">
        <f t="shared" si="82"/>
        <v>-6.893146033185156E-4</v>
      </c>
      <c r="Z137" s="98" t="str">
        <f t="shared" si="71"/>
        <v>0.999999829416326+0.00144804747133181i</v>
      </c>
      <c r="AA137" s="160">
        <f t="shared" si="83"/>
        <v>1.0000008778366949</v>
      </c>
      <c r="AB137" s="160">
        <f t="shared" si="84"/>
        <v>1.448046706237198E-3</v>
      </c>
      <c r="AC137" s="171" t="str">
        <f t="shared" si="85"/>
        <v>1.63503232546925-11.6961211244858i</v>
      </c>
      <c r="AD137" s="190">
        <f t="shared" si="86"/>
        <v>21.444888348683484</v>
      </c>
      <c r="AE137" s="169">
        <f t="shared" si="87"/>
        <v>-82.042039155144778</v>
      </c>
      <c r="AF137" s="98" t="str">
        <f t="shared" si="72"/>
        <v>-0.0000673063927557778</v>
      </c>
      <c r="AG137" s="98" t="str">
        <f t="shared" si="73"/>
        <v>9.79767603586604E-06i</v>
      </c>
      <c r="AH137" s="98">
        <f t="shared" si="88"/>
        <v>9.7976760358660402E-6</v>
      </c>
      <c r="AI137" s="98">
        <f t="shared" si="89"/>
        <v>1.5707963267948966</v>
      </c>
      <c r="AJ137" s="98" t="str">
        <f t="shared" si="74"/>
        <v>1+0.00985909004761204i</v>
      </c>
      <c r="AK137" s="98">
        <f t="shared" si="90"/>
        <v>1.0000485996473207</v>
      </c>
      <c r="AL137" s="98">
        <f t="shared" si="91"/>
        <v>9.8587706262791789E-3</v>
      </c>
      <c r="AM137" s="98" t="str">
        <f t="shared" si="75"/>
        <v>1+1.45972527351997i</v>
      </c>
      <c r="AN137" s="98">
        <f t="shared" si="92"/>
        <v>1.7694060794947415</v>
      </c>
      <c r="AO137" s="98">
        <f t="shared" si="93"/>
        <v>0.97016745698465012</v>
      </c>
      <c r="AP137" s="168" t="str">
        <f t="shared" si="94"/>
        <v>-9.95907375418727+6.96781572387261i</v>
      </c>
      <c r="AQ137" s="98">
        <f t="shared" si="95"/>
        <v>21.694792985727144</v>
      </c>
      <c r="AR137" s="169">
        <f t="shared" si="96"/>
        <v>145.0216347580868</v>
      </c>
      <c r="AS137" s="168" t="str">
        <f t="shared" si="97"/>
        <v>65.2130091596822+127.875136863106i</v>
      </c>
      <c r="AT137" s="190">
        <f t="shared" si="98"/>
        <v>43.139681334410611</v>
      </c>
      <c r="AU137" s="169">
        <f t="shared" si="99"/>
        <v>62.979595602941913</v>
      </c>
      <c r="AV137" s="225"/>
      <c r="AX137">
        <f t="shared" si="100"/>
        <v>0</v>
      </c>
      <c r="AY137">
        <f t="shared" si="101"/>
        <v>0</v>
      </c>
    </row>
    <row r="138" spans="14:51" x14ac:dyDescent="0.25">
      <c r="N138" s="170">
        <v>20</v>
      </c>
      <c r="O138" s="199">
        <f t="shared" si="102"/>
        <v>158.48931924611153</v>
      </c>
      <c r="P138" s="189" t="str">
        <f t="shared" si="67"/>
        <v>87</v>
      </c>
      <c r="Q138" s="160" t="str">
        <f t="shared" si="68"/>
        <v>1+7.46863321524049i</v>
      </c>
      <c r="R138" s="160">
        <f t="shared" si="77"/>
        <v>7.5352824833441714</v>
      </c>
      <c r="S138" s="160">
        <f t="shared" si="78"/>
        <v>1.4376946424396375</v>
      </c>
      <c r="T138" s="160" t="str">
        <f t="shared" si="69"/>
        <v>1+0.00497908881016032i</v>
      </c>
      <c r="U138" s="160">
        <f t="shared" si="79"/>
        <v>1.0000123955858644</v>
      </c>
      <c r="V138" s="160">
        <f t="shared" si="80"/>
        <v>4.9790476647020871E-3</v>
      </c>
      <c r="W138" s="98" t="str">
        <f t="shared" si="70"/>
        <v>1-0.000705370914772713i</v>
      </c>
      <c r="X138" s="160">
        <f t="shared" si="81"/>
        <v>1.0000002487740327</v>
      </c>
      <c r="Y138" s="160">
        <f t="shared" si="82"/>
        <v>-7.0537079778742193E-4</v>
      </c>
      <c r="Z138" s="98" t="str">
        <f t="shared" si="71"/>
        <v>0.999999821376965+0.00148177682990371i</v>
      </c>
      <c r="AA138" s="160">
        <f t="shared" si="83"/>
        <v>1.0000009192078454</v>
      </c>
      <c r="AB138" s="160">
        <f t="shared" si="84"/>
        <v>1.4817760100901034E-3</v>
      </c>
      <c r="AC138" s="171" t="str">
        <f t="shared" si="85"/>
        <v>1.56417827216553-11.4393758910793i</v>
      </c>
      <c r="AD138" s="190">
        <f t="shared" si="86"/>
        <v>21.24849613856048</v>
      </c>
      <c r="AE138" s="169">
        <f t="shared" si="87"/>
        <v>-82.213871104446184</v>
      </c>
      <c r="AF138" s="98" t="str">
        <f t="shared" si="72"/>
        <v>-0.0000673063927557778</v>
      </c>
      <c r="AG138" s="98" t="str">
        <f t="shared" si="73"/>
        <v>0.0000100258932281388i</v>
      </c>
      <c r="AH138" s="98">
        <f t="shared" si="88"/>
        <v>1.0025893228138799E-5</v>
      </c>
      <c r="AI138" s="98">
        <f t="shared" si="89"/>
        <v>1.5707963267948966</v>
      </c>
      <c r="AJ138" s="98" t="str">
        <f t="shared" si="74"/>
        <v>1+0.0100887377559863i</v>
      </c>
      <c r="AK138" s="98">
        <f t="shared" si="90"/>
        <v>1.0000508900198575</v>
      </c>
      <c r="AL138" s="98">
        <f t="shared" si="91"/>
        <v>1.0088395490802303E-2</v>
      </c>
      <c r="AM138" s="98" t="str">
        <f t="shared" si="75"/>
        <v>1+1.49372664304809i</v>
      </c>
      <c r="AN138" s="98">
        <f t="shared" si="92"/>
        <v>1.7975592574799073</v>
      </c>
      <c r="AO138" s="98">
        <f t="shared" si="93"/>
        <v>0.9808578568822971</v>
      </c>
      <c r="AP138" s="168" t="str">
        <f t="shared" si="94"/>
        <v>-9.95902813658296+6.81373051057401i</v>
      </c>
      <c r="AQ138" s="98">
        <f t="shared" si="95"/>
        <v>21.631887110929906</v>
      </c>
      <c r="AR138" s="169">
        <f t="shared" si="96"/>
        <v>145.62099301792071</v>
      </c>
      <c r="AS138" s="168" t="str">
        <f t="shared" si="97"/>
        <v>62.3671291078435+124.582955581239i</v>
      </c>
      <c r="AT138" s="190">
        <f t="shared" si="98"/>
        <v>42.880383249490393</v>
      </c>
      <c r="AU138" s="169">
        <f t="shared" si="99"/>
        <v>63.407121913474604</v>
      </c>
      <c r="AV138" s="225"/>
      <c r="AX138">
        <f t="shared" si="100"/>
        <v>0</v>
      </c>
      <c r="AY138">
        <f t="shared" si="101"/>
        <v>0</v>
      </c>
    </row>
    <row r="139" spans="14:51" x14ac:dyDescent="0.25">
      <c r="N139" s="170">
        <v>21</v>
      </c>
      <c r="O139" s="199">
        <f t="shared" si="102"/>
        <v>162.18100973589304</v>
      </c>
      <c r="P139" s="189" t="str">
        <f t="shared" si="67"/>
        <v>87</v>
      </c>
      <c r="Q139" s="160" t="str">
        <f t="shared" si="68"/>
        <v>1+7.64260003107084i</v>
      </c>
      <c r="R139" s="160">
        <f t="shared" si="77"/>
        <v>7.7077451459505317</v>
      </c>
      <c r="S139" s="160">
        <f t="shared" si="78"/>
        <v>1.4406899414269729</v>
      </c>
      <c r="T139" s="160" t="str">
        <f t="shared" si="69"/>
        <v>1+0.00509506668738055i</v>
      </c>
      <c r="U139" s="160">
        <f t="shared" si="79"/>
        <v>1.0000129797680373</v>
      </c>
      <c r="V139" s="160">
        <f t="shared" si="80"/>
        <v>5.095022599258636E-3</v>
      </c>
      <c r="W139" s="98" t="str">
        <f t="shared" si="70"/>
        <v>1-0.000721801114045579i</v>
      </c>
      <c r="X139" s="160">
        <f t="shared" si="81"/>
        <v>1.0000002604983902</v>
      </c>
      <c r="Y139" s="160">
        <f t="shared" si="82"/>
        <v>-7.2180098869358304E-4</v>
      </c>
      <c r="Z139" s="98" t="str">
        <f t="shared" si="71"/>
        <v>0.999999812958721+0.00151629184616445i</v>
      </c>
      <c r="AA139" s="160">
        <f t="shared" si="83"/>
        <v>1.0000009625287565</v>
      </c>
      <c r="AB139" s="160">
        <f t="shared" si="84"/>
        <v>1.5162909677183885E-3</v>
      </c>
      <c r="AC139" s="171" t="str">
        <f t="shared" si="85"/>
        <v>1.49640329084903-11.1878561576647i</v>
      </c>
      <c r="AD139" s="190">
        <f t="shared" si="86"/>
        <v>21.051944766376906</v>
      </c>
      <c r="AE139" s="169">
        <f t="shared" si="87"/>
        <v>-82.381763162518624</v>
      </c>
      <c r="AF139" s="98" t="str">
        <f t="shared" si="72"/>
        <v>-0.0000673063927557778</v>
      </c>
      <c r="AG139" s="98" t="str">
        <f t="shared" si="73"/>
        <v>0.0000102594262817095i</v>
      </c>
      <c r="AH139" s="98">
        <f t="shared" si="88"/>
        <v>1.0259426281709501E-5</v>
      </c>
      <c r="AI139" s="98">
        <f t="shared" si="89"/>
        <v>1.5707963267948966</v>
      </c>
      <c r="AJ139" s="98" t="str">
        <f t="shared" si="74"/>
        <v>1+0.010323734646659i</v>
      </c>
      <c r="AK139" s="98">
        <f t="shared" si="90"/>
        <v>1.0000532883287043</v>
      </c>
      <c r="AL139" s="98">
        <f t="shared" si="91"/>
        <v>1.0323367903962277E-2</v>
      </c>
      <c r="AM139" s="98" t="str">
        <f t="shared" si="75"/>
        <v>1+1.52852000621416i</v>
      </c>
      <c r="AN139" s="98">
        <f t="shared" si="92"/>
        <v>1.8265742277271231</v>
      </c>
      <c r="AO139" s="98">
        <f t="shared" si="93"/>
        <v>0.99145488280873117</v>
      </c>
      <c r="AP139" s="168" t="str">
        <f t="shared" si="94"/>
        <v>-9.95898036953506+6.66325798399625i</v>
      </c>
      <c r="AQ139" s="98">
        <f t="shared" si="95"/>
        <v>21.570948472340007</v>
      </c>
      <c r="AR139" s="169">
        <f t="shared" si="96"/>
        <v>146.2146949513201</v>
      </c>
      <c r="AS139" s="168" t="str">
        <f t="shared" si="97"/>
        <v>59.6449208678878+121.390561026393i</v>
      </c>
      <c r="AT139" s="190">
        <f t="shared" si="98"/>
        <v>42.622893238716919</v>
      </c>
      <c r="AU139" s="169">
        <f t="shared" si="99"/>
        <v>63.832931788801488</v>
      </c>
      <c r="AV139" s="225"/>
      <c r="AX139">
        <f t="shared" si="100"/>
        <v>0</v>
      </c>
      <c r="AY139">
        <f t="shared" si="101"/>
        <v>0</v>
      </c>
    </row>
    <row r="140" spans="14:51" x14ac:dyDescent="0.25">
      <c r="N140" s="170">
        <v>22</v>
      </c>
      <c r="O140" s="199">
        <f t="shared" si="102"/>
        <v>165.95869074375622</v>
      </c>
      <c r="P140" s="189" t="str">
        <f t="shared" si="67"/>
        <v>87</v>
      </c>
      <c r="Q140" s="160" t="str">
        <f t="shared" si="68"/>
        <v>1+7.82061905459949i</v>
      </c>
      <c r="R140" s="160">
        <f t="shared" si="77"/>
        <v>7.8842933987241119</v>
      </c>
      <c r="S140" s="160">
        <f t="shared" si="78"/>
        <v>1.4436193295195092</v>
      </c>
      <c r="T140" s="160" t="str">
        <f t="shared" si="69"/>
        <v>1+0.00521374603639965i</v>
      </c>
      <c r="U140" s="160">
        <f t="shared" si="79"/>
        <v>1.0000135914815018</v>
      </c>
      <c r="V140" s="160">
        <f t="shared" si="80"/>
        <v>5.2136987951605651E-3</v>
      </c>
      <c r="W140" s="98" t="str">
        <f t="shared" si="70"/>
        <v>1-0.000738614021823285i</v>
      </c>
      <c r="X140" s="160">
        <f t="shared" si="81"/>
        <v>1.0000002727752995</v>
      </c>
      <c r="Y140" s="160">
        <f t="shared" si="82"/>
        <v>-7.3861388750620335E-4</v>
      </c>
      <c r="Z140" s="98" t="str">
        <f t="shared" si="71"/>
        <v>0.999999804143737+0.00155161082043254i</v>
      </c>
      <c r="AA140" s="160">
        <f t="shared" si="83"/>
        <v>1.0000010078913173</v>
      </c>
      <c r="AB140" s="160">
        <f t="shared" si="84"/>
        <v>1.5516098791606774E-3</v>
      </c>
      <c r="AC140" s="171" t="str">
        <f t="shared" si="85"/>
        <v>1.43157823028175-10.9414827507995i</v>
      </c>
      <c r="AD140" s="190">
        <f t="shared" si="86"/>
        <v>20.85524117380632</v>
      </c>
      <c r="AE140" s="169">
        <f t="shared" si="87"/>
        <v>-82.545792024329003</v>
      </c>
      <c r="AF140" s="98" t="str">
        <f t="shared" si="72"/>
        <v>-0.0000673063927557778</v>
      </c>
      <c r="AG140" s="98" t="str">
        <f t="shared" si="73"/>
        <v>0.0000104983990188943i</v>
      </c>
      <c r="AH140" s="98">
        <f t="shared" si="88"/>
        <v>1.04983990188943E-5</v>
      </c>
      <c r="AI140" s="98">
        <f t="shared" si="89"/>
        <v>1.5707963267948966</v>
      </c>
      <c r="AJ140" s="98" t="str">
        <f t="shared" si="74"/>
        <v>1+0.0105642053180923i</v>
      </c>
      <c r="AK140" s="98">
        <f t="shared" si="90"/>
        <v>1.0000557996602004</v>
      </c>
      <c r="AL140" s="98">
        <f t="shared" si="91"/>
        <v>1.0563812347396921E-2</v>
      </c>
      <c r="AM140" s="98" t="str">
        <f t="shared" si="75"/>
        <v>1+1.56412381091989i</v>
      </c>
      <c r="AN140" s="98">
        <f t="shared" si="92"/>
        <v>1.8564706558107942</v>
      </c>
      <c r="AO140" s="98">
        <f t="shared" si="93"/>
        <v>1.0019546332147324</v>
      </c>
      <c r="AP140" s="168" t="str">
        <f t="shared" si="94"/>
        <v>-9.95893035178677+6.51631835851173i</v>
      </c>
      <c r="AQ140" s="98">
        <f t="shared" si="95"/>
        <v>21.511941927251684</v>
      </c>
      <c r="AR140" s="169">
        <f t="shared" si="96"/>
        <v>146.80250988370858</v>
      </c>
      <c r="AS140" s="168" t="str">
        <f t="shared" si="97"/>
        <v>57.0411970298641+118.294084164119i</v>
      </c>
      <c r="AT140" s="190">
        <f t="shared" si="98"/>
        <v>42.367183101057989</v>
      </c>
      <c r="AU140" s="169">
        <f t="shared" si="99"/>
        <v>64.256717859379535</v>
      </c>
      <c r="AV140" s="225"/>
      <c r="AX140">
        <f t="shared" si="100"/>
        <v>0</v>
      </c>
      <c r="AY140">
        <f t="shared" si="101"/>
        <v>0</v>
      </c>
    </row>
    <row r="141" spans="14:51" x14ac:dyDescent="0.25">
      <c r="N141" s="170">
        <v>23</v>
      </c>
      <c r="O141" s="199">
        <f t="shared" si="102"/>
        <v>169.82436524617444</v>
      </c>
      <c r="P141" s="189" t="str">
        <f t="shared" si="67"/>
        <v>87</v>
      </c>
      <c r="Q141" s="160" t="str">
        <f t="shared" si="68"/>
        <v>1+8.00278467386897i</v>
      </c>
      <c r="R141" s="160">
        <f t="shared" si="77"/>
        <v>8.065020925968641</v>
      </c>
      <c r="S141" s="160">
        <f t="shared" si="78"/>
        <v>1.4464841587066815</v>
      </c>
      <c r="T141" s="160" t="str">
        <f t="shared" si="69"/>
        <v>1+0.0053351897825793i</v>
      </c>
      <c r="U141" s="160">
        <f t="shared" si="79"/>
        <v>1.0000142320237329</v>
      </c>
      <c r="V141" s="160">
        <f t="shared" si="80"/>
        <v>5.3351391627185262E-3</v>
      </c>
      <c r="W141" s="98" t="str">
        <f t="shared" si="70"/>
        <v>1-0.000755818552532069i</v>
      </c>
      <c r="X141" s="160">
        <f t="shared" si="81"/>
        <v>1.0000002856308015</v>
      </c>
      <c r="Y141" s="160">
        <f t="shared" si="82"/>
        <v>-7.558184086087252E-4</v>
      </c>
      <c r="Z141" s="98" t="str">
        <f t="shared" si="71"/>
        <v>0.999999794913315+0.0015877524792956i</v>
      </c>
      <c r="AA141" s="160">
        <f t="shared" si="83"/>
        <v>1.0000010553917469</v>
      </c>
      <c r="AB141" s="160">
        <f t="shared" si="84"/>
        <v>1.5877514707046856E-3</v>
      </c>
      <c r="AC141" s="171" t="str">
        <f t="shared" si="85"/>
        <v>1.3695789524363-10.7001758069944i</v>
      </c>
      <c r="AD141" s="190">
        <f t="shared" si="86"/>
        <v>20.658392011786766</v>
      </c>
      <c r="AE141" s="169">
        <f t="shared" si="87"/>
        <v>-82.706033132364283</v>
      </c>
      <c r="AF141" s="98" t="str">
        <f t="shared" si="72"/>
        <v>-0.0000673063927557778</v>
      </c>
      <c r="AG141" s="98" t="str">
        <f t="shared" si="73"/>
        <v>0.0000107429381462017i</v>
      </c>
      <c r="AH141" s="98">
        <f t="shared" si="88"/>
        <v>1.0742938146201701E-5</v>
      </c>
      <c r="AI141" s="98">
        <f t="shared" si="89"/>
        <v>1.5707963267948966</v>
      </c>
      <c r="AJ141" s="98" t="str">
        <f t="shared" si="74"/>
        <v>1+0.0108102772710188i</v>
      </c>
      <c r="AK141" s="98">
        <f t="shared" si="90"/>
        <v>1.0000584293403443</v>
      </c>
      <c r="AL141" s="98">
        <f t="shared" si="91"/>
        <v>1.080985619666101E-2</v>
      </c>
      <c r="AM141" s="98" t="str">
        <f t="shared" si="75"/>
        <v>1+1.60055693477379i</v>
      </c>
      <c r="AN141" s="98">
        <f t="shared" si="92"/>
        <v>1.8872685292380813</v>
      </c>
      <c r="AO141" s="98">
        <f t="shared" si="93"/>
        <v>1.0123534146533111</v>
      </c>
      <c r="AP141" s="168" t="str">
        <f t="shared" si="94"/>
        <v>-9.95887797731301+6.37283372146191i</v>
      </c>
      <c r="AQ141" s="98">
        <f t="shared" si="95"/>
        <v>21.454831267613876</v>
      </c>
      <c r="AR141" s="169">
        <f t="shared" si="96"/>
        <v>147.38421889808012</v>
      </c>
      <c r="AS141" s="168" t="str">
        <f t="shared" si="97"/>
        <v>54.5509715407755+115.289844129945i</v>
      </c>
      <c r="AT141" s="190">
        <f t="shared" si="98"/>
        <v>42.113223279400671</v>
      </c>
      <c r="AU141" s="169">
        <f t="shared" si="99"/>
        <v>64.678185765715938</v>
      </c>
      <c r="AV141" s="225"/>
      <c r="AX141">
        <f t="shared" si="100"/>
        <v>0</v>
      </c>
      <c r="AY141">
        <f t="shared" si="101"/>
        <v>0</v>
      </c>
    </row>
    <row r="142" spans="14:51" x14ac:dyDescent="0.25">
      <c r="N142" s="170">
        <v>24</v>
      </c>
      <c r="O142" s="199">
        <f t="shared" si="102"/>
        <v>173.78008287493768</v>
      </c>
      <c r="P142" s="189" t="str">
        <f t="shared" si="67"/>
        <v>87</v>
      </c>
      <c r="Q142" s="160" t="str">
        <f t="shared" si="68"/>
        <v>1+8.18919347550197i</v>
      </c>
      <c r="R142" s="160">
        <f t="shared" si="77"/>
        <v>8.2500236229482411</v>
      </c>
      <c r="S142" s="160">
        <f t="shared" si="78"/>
        <v>1.44928575975964</v>
      </c>
      <c r="T142" s="160" t="str">
        <f t="shared" si="69"/>
        <v>1+0.0054594623170013i</v>
      </c>
      <c r="U142" s="160">
        <f t="shared" si="79"/>
        <v>1.0000149027533494</v>
      </c>
      <c r="V142" s="160">
        <f t="shared" si="80"/>
        <v>5.459408076886909E-3</v>
      </c>
      <c r="W142" s="98" t="str">
        <f t="shared" si="70"/>
        <v>1-0.000773423828241853i</v>
      </c>
      <c r="X142" s="160">
        <f t="shared" si="81"/>
        <v>1.0000002990921644</v>
      </c>
      <c r="Y142" s="160">
        <f t="shared" si="82"/>
        <v>-7.7342367402521419E-4</v>
      </c>
      <c r="Z142" s="98" t="str">
        <f t="shared" si="71"/>
        <v>0.999999785247878+0.00162473598553959i</v>
      </c>
      <c r="AA142" s="160">
        <f t="shared" si="83"/>
        <v>1.0000011051308018</v>
      </c>
      <c r="AB142" s="160">
        <f t="shared" si="84"/>
        <v>1.624734904815017E-3</v>
      </c>
      <c r="AC142" s="171" t="str">
        <f t="shared" si="85"/>
        <v>1.31028617342916-10.4638549377774i</v>
      </c>
      <c r="AD142" s="190">
        <f t="shared" si="86"/>
        <v>20.461403651888862</v>
      </c>
      <c r="AE142" s="169">
        <f t="shared" si="87"/>
        <v>-82.862560666363734</v>
      </c>
      <c r="AF142" s="98" t="str">
        <f t="shared" si="72"/>
        <v>-0.0000673063927557778</v>
      </c>
      <c r="AG142" s="98" t="str">
        <f t="shared" si="73"/>
        <v>0.0000109931733215138i</v>
      </c>
      <c r="AH142" s="98">
        <f t="shared" si="88"/>
        <v>1.0993173321513799E-5</v>
      </c>
      <c r="AI142" s="98">
        <f t="shared" si="89"/>
        <v>1.5707963267948966</v>
      </c>
      <c r="AJ142" s="98" t="str">
        <f t="shared" si="74"/>
        <v>1+0.0110620809760455i</v>
      </c>
      <c r="AK142" s="98">
        <f t="shared" si="90"/>
        <v>1.0000611829460839</v>
      </c>
      <c r="AL142" s="98">
        <f t="shared" si="91"/>
        <v>1.1061629788233003E-2</v>
      </c>
      <c r="AM142" s="98" t="str">
        <f t="shared" si="75"/>
        <v>1+1.63783869510039i</v>
      </c>
      <c r="AN142" s="98">
        <f t="shared" si="92"/>
        <v>1.9189881685847228</v>
      </c>
      <c r="AO142" s="98">
        <f t="shared" si="93"/>
        <v>1.0226477446440518</v>
      </c>
      <c r="AP142" s="168" t="str">
        <f t="shared" si="94"/>
        <v>-9.95882313509686+6.23272799183131i</v>
      </c>
      <c r="AQ142" s="98">
        <f t="shared" si="95"/>
        <v>21.399579334513984</v>
      </c>
      <c r="AR142" s="169">
        <f t="shared" si="96"/>
        <v>147.95961499527459</v>
      </c>
      <c r="AS142" s="168" t="str">
        <f t="shared" si="97"/>
        <v>52.1694533156036+112.374337947077i</v>
      </c>
      <c r="AT142" s="190">
        <f t="shared" si="98"/>
        <v>41.860982986402874</v>
      </c>
      <c r="AU142" s="169">
        <f t="shared" si="99"/>
        <v>65.097054328910986</v>
      </c>
      <c r="AV142" s="225"/>
      <c r="AX142">
        <f t="shared" si="100"/>
        <v>0</v>
      </c>
      <c r="AY142">
        <f t="shared" si="101"/>
        <v>0</v>
      </c>
    </row>
    <row r="143" spans="14:51" x14ac:dyDescent="0.25">
      <c r="N143" s="170">
        <v>25</v>
      </c>
      <c r="O143" s="199">
        <f t="shared" si="102"/>
        <v>177.82794100389242</v>
      </c>
      <c r="P143" s="189" t="str">
        <f t="shared" si="67"/>
        <v>87</v>
      </c>
      <c r="Q143" s="160" t="str">
        <f t="shared" si="68"/>
        <v>1+8.37994429591247i</v>
      </c>
      <c r="R143" s="160">
        <f t="shared" si="77"/>
        <v>8.4393996470481198</v>
      </c>
      <c r="S143" s="160">
        <f t="shared" si="78"/>
        <v>1.4520254421127643</v>
      </c>
      <c r="T143" s="160" t="str">
        <f t="shared" si="69"/>
        <v>1+0.0055866295306083i</v>
      </c>
      <c r="U143" s="160">
        <f t="shared" si="79"/>
        <v>1.0000156050929967</v>
      </c>
      <c r="V143" s="160">
        <f t="shared" si="80"/>
        <v>5.5865714113275946E-3</v>
      </c>
      <c r="W143" s="98" t="str">
        <f t="shared" si="70"/>
        <v>1-0.000791439183502844i</v>
      </c>
      <c r="X143" s="160">
        <f t="shared" si="81"/>
        <v>1.0000003131879416</v>
      </c>
      <c r="Y143" s="160">
        <f t="shared" si="82"/>
        <v>-7.9143901825674107E-4</v>
      </c>
      <c r="Z143" s="98" t="str">
        <f t="shared" si="71"/>
        <v>0.999999775126922+0.00166258094830903i</v>
      </c>
      <c r="AA143" s="160">
        <f t="shared" si="83"/>
        <v>1.0000011572139826</v>
      </c>
      <c r="AB143" s="160">
        <f t="shared" si="84"/>
        <v>1.6625797902918584E-3</v>
      </c>
      <c r="AC143" s="171" t="str">
        <f t="shared" si="85"/>
        <v>1.25358530622762-10.2324393827865i</v>
      </c>
      <c r="AD143" s="190">
        <f t="shared" si="86"/>
        <v>20.264282197321549</v>
      </c>
      <c r="AE143" s="169">
        <f t="shared" si="87"/>
        <v>-83.015447535436834</v>
      </c>
      <c r="AF143" s="98" t="str">
        <f t="shared" si="72"/>
        <v>-0.0000673063927557778</v>
      </c>
      <c r="AG143" s="98" t="str">
        <f t="shared" si="73"/>
        <v>0.0000112492372228328i</v>
      </c>
      <c r="AH143" s="98">
        <f t="shared" si="88"/>
        <v>1.12492372228328E-5</v>
      </c>
      <c r="AI143" s="98">
        <f t="shared" si="89"/>
        <v>1.5707963267948966</v>
      </c>
      <c r="AJ143" s="98" t="str">
        <f t="shared" si="74"/>
        <v>1+0.0113197499428297i</v>
      </c>
      <c r="AK143" s="98">
        <f t="shared" si="90"/>
        <v>1.0000640663171376</v>
      </c>
      <c r="AL143" s="98">
        <f t="shared" si="91"/>
        <v>1.1319266488051032E-2</v>
      </c>
      <c r="AM143" s="98" t="str">
        <f t="shared" si="75"/>
        <v>1+1.67598885918249i</v>
      </c>
      <c r="AN143" s="98">
        <f t="shared" si="92"/>
        <v>1.9516502391831956</v>
      </c>
      <c r="AO143" s="98">
        <f t="shared" si="93"/>
        <v>1.0328343536017233</v>
      </c>
      <c r="AP143" s="168" t="str">
        <f t="shared" si="94"/>
        <v>-9.95876570889407+6.0959268798912i</v>
      </c>
      <c r="AQ143" s="98">
        <f t="shared" si="95"/>
        <v>21.346148131912159</v>
      </c>
      <c r="AR143" s="169">
        <f t="shared" si="96"/>
        <v>148.52850320055211</v>
      </c>
      <c r="AS143" s="168" t="str">
        <f t="shared" si="97"/>
        <v>49.8920399195525+109.544230808101i</v>
      </c>
      <c r="AT143" s="190">
        <f t="shared" si="98"/>
        <v>41.610430329233708</v>
      </c>
      <c r="AU143" s="169">
        <f t="shared" si="99"/>
        <v>65.513055665115232</v>
      </c>
      <c r="AV143" s="225"/>
      <c r="AX143">
        <f t="shared" si="100"/>
        <v>0</v>
      </c>
      <c r="AY143">
        <f t="shared" si="101"/>
        <v>0</v>
      </c>
    </row>
    <row r="144" spans="14:51" x14ac:dyDescent="0.25">
      <c r="N144" s="170">
        <v>26</v>
      </c>
      <c r="O144" s="199">
        <f t="shared" si="102"/>
        <v>181.9700858609983</v>
      </c>
      <c r="P144" s="189" t="str">
        <f t="shared" si="67"/>
        <v>87</v>
      </c>
      <c r="Q144" s="160" t="str">
        <f t="shared" si="68"/>
        <v>1+8.57513827371025i</v>
      </c>
      <c r="R144" s="160">
        <f t="shared" si="77"/>
        <v>8.6332494701155493</v>
      </c>
      <c r="S144" s="160">
        <f t="shared" si="78"/>
        <v>1.4547044937842051</v>
      </c>
      <c r="T144" s="160" t="str">
        <f t="shared" si="69"/>
        <v>1+0.00571675884914015i</v>
      </c>
      <c r="U144" s="160">
        <f t="shared" si="79"/>
        <v>1.0000163405323632</v>
      </c>
      <c r="V144" s="160">
        <f t="shared" si="80"/>
        <v>5.7166965732638273E-3</v>
      </c>
      <c r="W144" s="98" t="str">
        <f t="shared" si="70"/>
        <v>1-0.000809874170294856i</v>
      </c>
      <c r="X144" s="160">
        <f t="shared" si="81"/>
        <v>1.0000003279480321</v>
      </c>
      <c r="Y144" s="160">
        <f t="shared" si="82"/>
        <v>-8.0987399323046978E-4</v>
      </c>
      <c r="Z144" s="98" t="str">
        <f t="shared" si="71"/>
        <v>0.99999976452898+0.00170130743350411i</v>
      </c>
      <c r="AA144" s="160">
        <f t="shared" si="83"/>
        <v>1.0000012117517652</v>
      </c>
      <c r="AB144" s="160">
        <f t="shared" si="84"/>
        <v>1.7013061926664358E-3</v>
      </c>
      <c r="AC144" s="171" t="str">
        <f t="shared" si="85"/>
        <v>1.19936630546573-10.0058481515337i</v>
      </c>
      <c r="AD144" s="190">
        <f t="shared" si="86"/>
        <v>20.067033493579459</v>
      </c>
      <c r="AE144" s="169">
        <f t="shared" si="87"/>
        <v>-83.164765372393703</v>
      </c>
      <c r="AF144" s="98" t="str">
        <f t="shared" si="72"/>
        <v>-0.0000673063927557778</v>
      </c>
      <c r="AG144" s="98" t="str">
        <f t="shared" si="73"/>
        <v>0.0000115112656186286i</v>
      </c>
      <c r="AH144" s="98">
        <f t="shared" si="88"/>
        <v>1.1511265618628601E-5</v>
      </c>
      <c r="AI144" s="98">
        <f t="shared" si="89"/>
        <v>1.5707963267948966</v>
      </c>
      <c r="AJ144" s="98" t="str">
        <f t="shared" si="74"/>
        <v>1+0.011583420790868i</v>
      </c>
      <c r="AK144" s="98">
        <f t="shared" si="90"/>
        <v>1.0000670855683724</v>
      </c>
      <c r="AL144" s="98">
        <f t="shared" si="91"/>
        <v>1.1582902761616243E-2</v>
      </c>
      <c r="AM144" s="98" t="str">
        <f t="shared" si="75"/>
        <v>1+1.71502765474204i</v>
      </c>
      <c r="AN144" s="98">
        <f t="shared" si="92"/>
        <v>1.9852757633462363</v>
      </c>
      <c r="AO144" s="98">
        <f t="shared" si="93"/>
        <v>1.0429101858609862</v>
      </c>
      <c r="AP144" s="168" t="str">
        <f t="shared" si="94"/>
        <v>-9.95870557698741+5.96235784779207i</v>
      </c>
      <c r="AQ144" s="98">
        <f t="shared" si="95"/>
        <v>21.294498939004537</v>
      </c>
      <c r="AR144" s="169">
        <f t="shared" si="96"/>
        <v>149.09070061828774</v>
      </c>
      <c r="AS144" s="168" t="str">
        <f t="shared" si="97"/>
        <v>47.7143113350204+106.796346892939i</v>
      </c>
      <c r="AT144" s="190">
        <f t="shared" si="98"/>
        <v>41.361532432584013</v>
      </c>
      <c r="AU144" s="169">
        <f t="shared" si="99"/>
        <v>65.925935245894095</v>
      </c>
      <c r="AV144" s="225"/>
      <c r="AX144">
        <f t="shared" si="100"/>
        <v>0</v>
      </c>
      <c r="AY144">
        <f t="shared" si="101"/>
        <v>0</v>
      </c>
    </row>
    <row r="145" spans="14:51" x14ac:dyDescent="0.25">
      <c r="N145" s="170">
        <v>27</v>
      </c>
      <c r="O145" s="199">
        <f t="shared" si="102"/>
        <v>186.20871366628685</v>
      </c>
      <c r="P145" s="189" t="str">
        <f t="shared" si="67"/>
        <v>87</v>
      </c>
      <c r="Q145" s="160" t="str">
        <f t="shared" si="68"/>
        <v>1+8.77487890332617i</v>
      </c>
      <c r="R145" s="160">
        <f t="shared" si="77"/>
        <v>8.8316759320096612</v>
      </c>
      <c r="S145" s="160">
        <f t="shared" si="78"/>
        <v>1.4573241813325299</v>
      </c>
      <c r="T145" s="160" t="str">
        <f t="shared" si="69"/>
        <v>1+0.0058499192688841i</v>
      </c>
      <c r="U145" s="160">
        <f t="shared" si="79"/>
        <v>1.0000171106313394</v>
      </c>
      <c r="V145" s="160">
        <f t="shared" si="80"/>
        <v>5.8498525391420348E-3</v>
      </c>
      <c r="W145" s="98" t="str">
        <f t="shared" si="70"/>
        <v>1-0.000828738563091916i</v>
      </c>
      <c r="X145" s="160">
        <f t="shared" si="81"/>
        <v>1.0000003434037439</v>
      </c>
      <c r="Y145" s="160">
        <f t="shared" si="82"/>
        <v>-8.2873837336401134E-4</v>
      </c>
      <c r="Z145" s="98" t="str">
        <f t="shared" si="71"/>
        <v>0.999999753431573+0.00174093597441991i</v>
      </c>
      <c r="AA145" s="160">
        <f t="shared" si="83"/>
        <v>1.0000012688598319</v>
      </c>
      <c r="AB145" s="160">
        <f t="shared" si="84"/>
        <v>1.7409346448384773E-3</v>
      </c>
      <c r="AC145" s="171" t="str">
        <f t="shared" si="85"/>
        <v>1.14752351466128-9.78400015446158i</v>
      </c>
      <c r="AD145" s="190">
        <f t="shared" si="86"/>
        <v>19.869663138736801</v>
      </c>
      <c r="AE145" s="169">
        <f t="shared" si="87"/>
        <v>-83.310584530116785</v>
      </c>
      <c r="AF145" s="98" t="str">
        <f t="shared" si="72"/>
        <v>-0.0000673063927557778</v>
      </c>
      <c r="AG145" s="98" t="str">
        <f t="shared" si="73"/>
        <v>0.0000117793974398251i</v>
      </c>
      <c r="AH145" s="98">
        <f t="shared" si="88"/>
        <v>1.17793974398251E-5</v>
      </c>
      <c r="AI145" s="98">
        <f t="shared" si="89"/>
        <v>1.5707963267948966</v>
      </c>
      <c r="AJ145" s="98" t="str">
        <f t="shared" si="74"/>
        <v>1+0.0118532333219344i</v>
      </c>
      <c r="AK145" s="98">
        <f t="shared" si="90"/>
        <v>1.0000702471027645</v>
      </c>
      <c r="AL145" s="98">
        <f t="shared" si="91"/>
        <v>1.1852678245696245E-2</v>
      </c>
      <c r="AM145" s="98" t="str">
        <f t="shared" si="75"/>
        <v>1+1.75497578066523i</v>
      </c>
      <c r="AN145" s="98">
        <f t="shared" si="92"/>
        <v>2.0198861331078874</v>
      </c>
      <c r="AO145" s="98">
        <f t="shared" si="93"/>
        <v>1.0528723998345153</v>
      </c>
      <c r="AP145" s="168" t="str">
        <f t="shared" si="94"/>
        <v>-9.95864261192961+5.83195007108355i</v>
      </c>
      <c r="AQ145" s="98">
        <f t="shared" si="95"/>
        <v>21.244592420636792</v>
      </c>
      <c r="AR145" s="169">
        <f t="shared" si="96"/>
        <v>149.64603643692328</v>
      </c>
      <c r="AS145" s="168" t="str">
        <f t="shared" si="97"/>
        <v>45.6320238249966+104.127660696246i</v>
      </c>
      <c r="AT145" s="190">
        <f t="shared" si="98"/>
        <v>41.114255559373596</v>
      </c>
      <c r="AU145" s="169">
        <f t="shared" si="99"/>
        <v>66.335451906806526</v>
      </c>
      <c r="AV145" s="225"/>
      <c r="AX145">
        <f t="shared" si="100"/>
        <v>0</v>
      </c>
      <c r="AY145">
        <f t="shared" si="101"/>
        <v>0</v>
      </c>
    </row>
    <row r="146" spans="14:51" x14ac:dyDescent="0.25">
      <c r="N146" s="170">
        <v>28</v>
      </c>
      <c r="O146" s="199">
        <f t="shared" si="102"/>
        <v>190.54607179632498</v>
      </c>
      <c r="P146" s="189" t="str">
        <f t="shared" si="67"/>
        <v>87</v>
      </c>
      <c r="Q146" s="160" t="str">
        <f t="shared" si="68"/>
        <v>1+8.97927208988597i</v>
      </c>
      <c r="R146" s="160">
        <f t="shared" si="77"/>
        <v>9.0347842953888584</v>
      </c>
      <c r="S146" s="160">
        <f t="shared" si="78"/>
        <v>1.4598857498467086</v>
      </c>
      <c r="T146" s="160" t="str">
        <f t="shared" si="69"/>
        <v>1+0.0059861813932573i</v>
      </c>
      <c r="U146" s="160">
        <f t="shared" si="79"/>
        <v>1.0000179170233265</v>
      </c>
      <c r="V146" s="160">
        <f t="shared" si="80"/>
        <v>5.9861098911196328E-3</v>
      </c>
      <c r="W146" s="98" t="str">
        <f t="shared" si="70"/>
        <v>1-0.000848042364044786i</v>
      </c>
      <c r="X146" s="160">
        <f t="shared" si="81"/>
        <v>1.000000359587861</v>
      </c>
      <c r="Y146" s="160">
        <f t="shared" si="82"/>
        <v>-8.4804216074767735E-4</v>
      </c>
      <c r="Z146" s="98" t="str">
        <f t="shared" si="71"/>
        <v>0.999999741811161+0.00178148758263337i</v>
      </c>
      <c r="AA146" s="160">
        <f t="shared" si="83"/>
        <v>1.0000013286593152</v>
      </c>
      <c r="AB146" s="160">
        <f t="shared" si="84"/>
        <v>1.781486157961298E-3</v>
      </c>
      <c r="AC146" s="171" t="str">
        <f t="shared" si="85"/>
        <v>1.09795551608422-9.56681432389265i</v>
      </c>
      <c r="AD146" s="190">
        <f t="shared" si="86"/>
        <v>19.672176493394939</v>
      </c>
      <c r="AE146" s="169">
        <f t="shared" si="87"/>
        <v>-83.452974079817352</v>
      </c>
      <c r="AF146" s="98" t="str">
        <f t="shared" si="72"/>
        <v>-0.0000673063927557778</v>
      </c>
      <c r="AG146" s="98" t="str">
        <f t="shared" si="73"/>
        <v>0.0000120537748534629i</v>
      </c>
      <c r="AH146" s="98">
        <f t="shared" si="88"/>
        <v>1.20537748534629E-5</v>
      </c>
      <c r="AI146" s="98">
        <f t="shared" si="89"/>
        <v>1.5707963267948966</v>
      </c>
      <c r="AJ146" s="98" t="str">
        <f t="shared" si="74"/>
        <v>1+0.0121293305942043i</v>
      </c>
      <c r="AK146" s="98">
        <f t="shared" si="90"/>
        <v>1.0000735576249697</v>
      </c>
      <c r="AL146" s="98">
        <f t="shared" si="91"/>
        <v>1.212873582166194E-2</v>
      </c>
      <c r="AM146" s="98" t="str">
        <f t="shared" si="75"/>
        <v>1+1.79585441797719i</v>
      </c>
      <c r="AN146" s="98">
        <f t="shared" si="92"/>
        <v>2.0555031234634971</v>
      </c>
      <c r="AO146" s="98">
        <f t="shared" si="93"/>
        <v>1.0627183673465606</v>
      </c>
      <c r="AP146" s="168" t="str">
        <f t="shared" si="94"/>
        <v>-9.95857668027363+5.70463440114165i</v>
      </c>
      <c r="AQ146" s="98">
        <f t="shared" si="95"/>
        <v>21.19638873523791</v>
      </c>
      <c r="AR146" s="169">
        <f t="shared" si="96"/>
        <v>150.19435188658102</v>
      </c>
      <c r="AS146" s="168" t="str">
        <f t="shared" si="97"/>
        <v>43.6411039029586+101.535288838402i</v>
      </c>
      <c r="AT146" s="190">
        <f t="shared" si="98"/>
        <v>40.868565228632825</v>
      </c>
      <c r="AU146" s="169">
        <f t="shared" si="99"/>
        <v>66.741377806763609</v>
      </c>
      <c r="AV146" s="225"/>
      <c r="AX146">
        <f t="shared" si="100"/>
        <v>0</v>
      </c>
      <c r="AY146">
        <f t="shared" si="101"/>
        <v>0</v>
      </c>
    </row>
    <row r="147" spans="14:51" x14ac:dyDescent="0.25">
      <c r="N147" s="170">
        <v>29</v>
      </c>
      <c r="O147" s="199">
        <f t="shared" si="102"/>
        <v>194.98445997580458</v>
      </c>
      <c r="P147" s="189" t="str">
        <f t="shared" ref="P147:P210" si="103">COMPLEX(Adc,0)</f>
        <v>87</v>
      </c>
      <c r="Q147" s="160" t="str">
        <f t="shared" ref="Q147:Q210" si="104">IMSUM(COMPLEX(1,0),IMDIV(COMPLEX(0,2*PI()*O147),COMPLEX(wp_lf,0)))</f>
        <v>1+9.18842620536242i</v>
      </c>
      <c r="R147" s="160">
        <f t="shared" si="77"/>
        <v>9.2426823017666706</v>
      </c>
      <c r="S147" s="160">
        <f t="shared" si="78"/>
        <v>1.4623904229668514</v>
      </c>
      <c r="T147" s="160" t="str">
        <f t="shared" ref="T147:T210" si="105">IMSUM(COMPLEX(1,0),IMDIV(COMPLEX(0,2*PI()*O147),COMPLEX(wz_esr,0)))</f>
        <v>1+0.0061256174702416i</v>
      </c>
      <c r="U147" s="160">
        <f t="shared" si="79"/>
        <v>1.0000187614187004</v>
      </c>
      <c r="V147" s="160">
        <f t="shared" si="80"/>
        <v>6.1255408543983555E-3</v>
      </c>
      <c r="W147" s="98" t="str">
        <f t="shared" ref="W147:W210" si="106">IMSUB(COMPLEX(1,0),IMDIV(COMPLEX(0,2*PI()*O147),COMPLEX(wz_rhp,0)))</f>
        <v>1-0.000867795808284228i</v>
      </c>
      <c r="X147" s="160">
        <f t="shared" si="81"/>
        <v>1.0000003765347116</v>
      </c>
      <c r="Y147" s="160">
        <f t="shared" si="82"/>
        <v>-8.6779559044745588E-4</v>
      </c>
      <c r="Z147" s="98" t="str">
        <f t="shared" ref="Z147:Z210" si="107">IF(Dc_Mode_Loop="CCM",IMSUM(COMPLEX(1,0),IMDIV(COMPLEX(0,2*PI()*O147),COMPLEX(Q*(wsl/2),0)),IMDIV(IMPOWER(COMPLEX(0,2*PI()*O147),2),IMPOWER(COMPLEX(wsl/2,0),2))),COMPLEX(1,0))</f>
        <v>0.999999729643096+0.0018229837591439i</v>
      </c>
      <c r="AA147" s="160">
        <f t="shared" si="83"/>
        <v>1.0000013912770578</v>
      </c>
      <c r="AB147" s="160">
        <f t="shared" si="84"/>
        <v>1.8229822325803845E-3</v>
      </c>
      <c r="AC147" s="171" t="str">
        <f t="shared" si="85"/>
        <v>1.05056498348952-9.35420972544598i</v>
      </c>
      <c r="AD147" s="190">
        <f t="shared" si="86"/>
        <v>19.474578690288975</v>
      </c>
      <c r="AE147" s="169">
        <f t="shared" si="87"/>
        <v>-83.592001811026805</v>
      </c>
      <c r="AF147" s="98" t="str">
        <f t="shared" ref="AF147:AF210" si="108">COMPLEX(Adc_ea,0)</f>
        <v>-0.0000673063927557778</v>
      </c>
      <c r="AG147" s="98" t="str">
        <f t="shared" ref="AG147:AG210" si="109">COMPLEX(0,2*PI()*O147*wp0_ea)</f>
        <v>0.0000123345433380785i</v>
      </c>
      <c r="AH147" s="98">
        <f t="shared" si="88"/>
        <v>1.2334543338078499E-5</v>
      </c>
      <c r="AI147" s="98">
        <f t="shared" si="89"/>
        <v>1.5707963267948966</v>
      </c>
      <c r="AJ147" s="98" t="str">
        <f t="shared" ref="AJ147:AJ210" si="110">IMSUM(COMPLEX(1,0),IMDIV(COMPLEX(0,2*PI()*O147),COMPLEX(wp1_ea,0)))</f>
        <v>1+0.0124118589981057i</v>
      </c>
      <c r="AK147" s="98">
        <f t="shared" si="90"/>
        <v>1.0000770241555341</v>
      </c>
      <c r="AL147" s="98">
        <f t="shared" si="91"/>
        <v>1.2411221690495305E-2</v>
      </c>
      <c r="AM147" s="98" t="str">
        <f t="shared" ref="AM147:AM210" si="111">IMSUM(COMPLEX(1,0),IMDIV(COMPLEX(0,2*PI()*O147),COMPLEX(wz_ea,0)))</f>
        <v>1+1.83768524107248i</v>
      </c>
      <c r="AN147" s="98">
        <f t="shared" si="92"/>
        <v>2.0921489060904865</v>
      </c>
      <c r="AO147" s="98">
        <f t="shared" si="93"/>
        <v>1.0724456721881677</v>
      </c>
      <c r="AP147" s="168" t="str">
        <f t="shared" si="94"/>
        <v>-9.95850764228998+5.58034332848261i</v>
      </c>
      <c r="AQ147" s="98">
        <f t="shared" si="95"/>
        <v>21.149847639795315</v>
      </c>
      <c r="AR147" s="169">
        <f t="shared" si="96"/>
        <v>150.73550015198603</v>
      </c>
      <c r="AS147" s="168" t="str">
        <f t="shared" si="97"/>
        <v>41.737642417817+99.0164823351902i</v>
      </c>
      <c r="AT147" s="190">
        <f t="shared" si="98"/>
        <v>40.62442633008429</v>
      </c>
      <c r="AU147" s="169">
        <f t="shared" si="99"/>
        <v>67.143498340959212</v>
      </c>
      <c r="AV147" s="225"/>
      <c r="AX147">
        <f t="shared" si="100"/>
        <v>0</v>
      </c>
      <c r="AY147">
        <f t="shared" si="101"/>
        <v>0</v>
      </c>
    </row>
    <row r="148" spans="14:51" x14ac:dyDescent="0.25">
      <c r="N148" s="170">
        <v>30</v>
      </c>
      <c r="O148" s="199">
        <f t="shared" si="102"/>
        <v>199.52623149688802</v>
      </c>
      <c r="P148" s="189" t="str">
        <f t="shared" si="103"/>
        <v>87</v>
      </c>
      <c r="Q148" s="160" t="str">
        <f t="shared" si="104"/>
        <v>1+9.40245214603622i</v>
      </c>
      <c r="R148" s="160">
        <f t="shared" ref="R148:R211" si="112">IMABS(Q148)</f>
        <v>9.455480228867339</v>
      </c>
      <c r="S148" s="160">
        <f t="shared" ref="S148:S211" si="113">IMARGUMENT(Q148)</f>
        <v>1.4648394029332534</v>
      </c>
      <c r="T148" s="160" t="str">
        <f t="shared" si="105"/>
        <v>1+0.0062683014306908i</v>
      </c>
      <c r="U148" s="160">
        <f t="shared" ref="U148:U211" si="114">IMABS(T148)</f>
        <v>1.000019645608438</v>
      </c>
      <c r="V148" s="160">
        <f t="shared" ref="V148:V211" si="115">IMARGUMENT(T148)</f>
        <v>6.2682193354227818E-3</v>
      </c>
      <c r="W148" s="98" t="str">
        <f t="shared" si="106"/>
        <v>1-0.000888009369347865i</v>
      </c>
      <c r="X148" s="160">
        <f t="shared" ref="X148:X211" si="116">IMABS(W148)</f>
        <v>1.0000003942802422</v>
      </c>
      <c r="Y148" s="160">
        <f t="shared" ref="Y148:Y211" si="117">IMARGUMENT(W148)</f>
        <v>-8.8800913593156325E-4</v>
      </c>
      <c r="Z148" s="98" t="str">
        <f t="shared" si="107"/>
        <v>0.999999716901568+0.00186544650577358i</v>
      </c>
      <c r="AA148" s="160">
        <f t="shared" ref="AA148:AA211" si="118">IMABS(Z148)</f>
        <v>1.0000014568458799</v>
      </c>
      <c r="AB148" s="160">
        <f t="shared" ref="AB148:AB211" si="119">IMARGUMENT(Z148)</f>
        <v>1.8654448700314295E-3</v>
      </c>
      <c r="AC148" s="171" t="str">
        <f t="shared" ref="AC148:AC211" si="120">(IMDIV(IMPRODUCT(P148,T148,W148),IMPRODUCT(Q148,Z148)))</f>
        <v>1.00525853789351-9.1461056604731i</v>
      </c>
      <c r="AD148" s="190">
        <f t="shared" ref="AD148:AD211" si="121">20*LOG(IMABS(AC148))</f>
        <v>19.276874643559729</v>
      </c>
      <c r="AE148" s="169">
        <f t="shared" ref="AE148:AE211" si="122">(180/PI())*IMARGUMENT(AC148)</f>
        <v>-83.727734233181906</v>
      </c>
      <c r="AF148" s="98" t="str">
        <f t="shared" si="108"/>
        <v>-0.0000673063927557778</v>
      </c>
      <c r="AG148" s="98" t="str">
        <f t="shared" si="109"/>
        <v>0.000012621851760839i</v>
      </c>
      <c r="AH148" s="98">
        <f t="shared" ref="AH148:AH211" si="123">IMABS(AG148)</f>
        <v>1.2621851760838999E-5</v>
      </c>
      <c r="AI148" s="98">
        <f t="shared" ref="AI148:AI211" si="124">IMARGUMENT(AG148)</f>
        <v>1.5707963267948966</v>
      </c>
      <c r="AJ148" s="98" t="str">
        <f t="shared" si="110"/>
        <v>1+0.0127009683339384i</v>
      </c>
      <c r="AK148" s="98">
        <f t="shared" ref="AK148:AK211" si="125">IMABS(AJ148)</f>
        <v>1.0000806540457723</v>
      </c>
      <c r="AL148" s="98">
        <f t="shared" ref="AL148:AL211" si="126">IMARGUMENT(AJ148)</f>
        <v>1.2700285449504894E-2</v>
      </c>
      <c r="AM148" s="98" t="str">
        <f t="shared" si="111"/>
        <v>1+1.88049042920724i</v>
      </c>
      <c r="AN148" s="98">
        <f t="shared" ref="AN148:AN211" si="127">IMABS(AM148)</f>
        <v>2.1298460635313599</v>
      </c>
      <c r="AO148" s="98">
        <f t="shared" ref="AO148:AO211" si="128">IMARGUMENT(AM148)</f>
        <v>1.0820521079434349</v>
      </c>
      <c r="AP148" s="168" t="str">
        <f t="shared" ref="AP148:AP211" si="129">IMPRODUCT(AF148,IMDIV(AM148,IMPRODUCT(AG148,AJ148)))</f>
        <v>-9.95843535167234+5.45901094694456i</v>
      </c>
      <c r="AQ148" s="98">
        <f t="shared" ref="AQ148:AQ211" si="130">20*LOG(IMABS(AP148))</f>
        <v>21.10492859144605</v>
      </c>
      <c r="AR148" s="169">
        <f t="shared" ref="AR148:AR211" si="131">(180/PI())*IMARGUMENT(AP148)</f>
        <v>151.26934624352492</v>
      </c>
      <c r="AS148" s="168" t="str">
        <f t="shared" ref="AS148:AS211" si="132">IMPRODUCT(AC148,AP148)</f>
        <v>39.9178887611051+96.568619302256i</v>
      </c>
      <c r="AT148" s="190">
        <f t="shared" ref="AT148:AT211" si="133">20*LOG(IMABS(AS148))</f>
        <v>40.381803235005776</v>
      </c>
      <c r="AU148" s="169">
        <f t="shared" ref="AU148:AU211" si="134">(180/PI())*IMARGUMENT(AS148)</f>
        <v>67.541612010343002</v>
      </c>
      <c r="AV148" s="225"/>
      <c r="AX148">
        <f t="shared" ref="AX148:AX211" si="135">SUM((AT149&lt;0)*(AT148&gt;0))*O148</f>
        <v>0</v>
      </c>
      <c r="AY148">
        <f t="shared" ref="AY148:AY211" si="136">IF(AX148&gt;0,AU148,0)</f>
        <v>0</v>
      </c>
    </row>
    <row r="149" spans="14:51" x14ac:dyDescent="0.25">
      <c r="N149" s="170">
        <v>31</v>
      </c>
      <c r="O149" s="199">
        <f t="shared" si="102"/>
        <v>204.17379446695315</v>
      </c>
      <c r="P149" s="189" t="str">
        <f t="shared" si="103"/>
        <v>87</v>
      </c>
      <c r="Q149" s="160" t="str">
        <f t="shared" si="104"/>
        <v>1+9.62146339129398i</v>
      </c>
      <c r="R149" s="160">
        <f t="shared" si="112"/>
        <v>9.6732909493103882</v>
      </c>
      <c r="S149" s="160">
        <f t="shared" si="113"/>
        <v>1.4672338706614141</v>
      </c>
      <c r="T149" s="160" t="str">
        <f t="shared" si="105"/>
        <v>1+0.0064143089275293i</v>
      </c>
      <c r="U149" s="160">
        <f t="shared" si="114"/>
        <v>1.0000205714679162</v>
      </c>
      <c r="V149" s="160">
        <f t="shared" si="115"/>
        <v>6.4142209609624823E-3</v>
      </c>
      <c r="W149" s="98" t="str">
        <f t="shared" si="106"/>
        <v>1-0.000908693764733319i</v>
      </c>
      <c r="X149" s="160">
        <f t="shared" si="116"/>
        <v>1.0000004128620938</v>
      </c>
      <c r="Y149" s="160">
        <f t="shared" si="117"/>
        <v>-9.0869351462325105E-4</v>
      </c>
      <c r="Z149" s="98" t="str">
        <f t="shared" si="107"/>
        <v>0.999999703559549+0.00190889833683272i</v>
      </c>
      <c r="AA149" s="160">
        <f t="shared" si="118"/>
        <v>1.0000015255048595</v>
      </c>
      <c r="AB149" s="160">
        <f t="shared" si="119"/>
        <v>1.9088965841035719E-3</v>
      </c>
      <c r="AC149" s="171" t="str">
        <f t="shared" si="120"/>
        <v>0.961946606542247-8.94242176004456i</v>
      </c>
      <c r="AD149" s="190">
        <f t="shared" si="121"/>
        <v>19.079069057700369</v>
      </c>
      <c r="AE149" s="169">
        <f t="shared" si="122"/>
        <v>-83.86023657867014</v>
      </c>
      <c r="AF149" s="98" t="str">
        <f t="shared" si="108"/>
        <v>-0.0000673063927557778</v>
      </c>
      <c r="AG149" s="98" t="str">
        <f t="shared" si="109"/>
        <v>0.000012915852456473i</v>
      </c>
      <c r="AH149" s="98">
        <f t="shared" si="123"/>
        <v>1.2915852456473001E-5</v>
      </c>
      <c r="AI149" s="98">
        <f t="shared" si="124"/>
        <v>1.5707963267948966</v>
      </c>
      <c r="AJ149" s="98" t="str">
        <f t="shared" si="110"/>
        <v>1+0.0129968118912989i</v>
      </c>
      <c r="AK149" s="98">
        <f t="shared" si="125"/>
        <v>1.0000844549933459</v>
      </c>
      <c r="AL149" s="98">
        <f t="shared" si="126"/>
        <v>1.2996080170782456E-2</v>
      </c>
      <c r="AM149" s="98" t="str">
        <f t="shared" si="111"/>
        <v>1+1.92429267825879i</v>
      </c>
      <c r="AN149" s="98">
        <f t="shared" si="127"/>
        <v>2.1686176038205507</v>
      </c>
      <c r="AO149" s="98">
        <f t="shared" si="128"/>
        <v>1.0915356751386633</v>
      </c>
      <c r="AP149" s="168" t="str">
        <f t="shared" si="129"/>
        <v>-9.95835965522778+5.34057291871766i</v>
      </c>
      <c r="AQ149" s="98">
        <f t="shared" si="130"/>
        <v>21.061590845308412</v>
      </c>
      <c r="AR149" s="169">
        <f t="shared" si="131"/>
        <v>151.79576682940873</v>
      </c>
      <c r="AS149" s="168" t="str">
        <f t="shared" si="132"/>
        <v>38.1782452023719+94.1891980714106i</v>
      </c>
      <c r="AT149" s="190">
        <f t="shared" si="133"/>
        <v>40.140659903008782</v>
      </c>
      <c r="AU149" s="169">
        <f t="shared" si="134"/>
        <v>67.935530250738623</v>
      </c>
      <c r="AV149" s="225"/>
      <c r="AX149">
        <f t="shared" si="135"/>
        <v>0</v>
      </c>
      <c r="AY149">
        <f t="shared" si="136"/>
        <v>0</v>
      </c>
    </row>
    <row r="150" spans="14:51" x14ac:dyDescent="0.25">
      <c r="N150" s="170">
        <v>32</v>
      </c>
      <c r="O150" s="199">
        <f t="shared" si="102"/>
        <v>208.92961308540396</v>
      </c>
      <c r="P150" s="189" t="str">
        <f t="shared" si="103"/>
        <v>87</v>
      </c>
      <c r="Q150" s="160" t="str">
        <f t="shared" si="104"/>
        <v>1+9.845576063797i</v>
      </c>
      <c r="R150" s="160">
        <f t="shared" si="112"/>
        <v>9.8962299906586857</v>
      </c>
      <c r="S150" s="160">
        <f t="shared" si="113"/>
        <v>1.4695749858408924</v>
      </c>
      <c r="T150" s="160" t="str">
        <f t="shared" si="105"/>
        <v>1+0.00656371737586465i</v>
      </c>
      <c r="U150" s="160">
        <f t="shared" si="114"/>
        <v>1.0000215409608886</v>
      </c>
      <c r="V150" s="160">
        <f t="shared" si="115"/>
        <v>6.5636231180997463E-3</v>
      </c>
      <c r="W150" s="98" t="str">
        <f t="shared" si="106"/>
        <v>1-0.000929859961580827i</v>
      </c>
      <c r="X150" s="160">
        <f t="shared" si="116"/>
        <v>1.0000004323196807</v>
      </c>
      <c r="Y150" s="160">
        <f t="shared" si="117"/>
        <v>-9.2985969358306707E-4</v>
      </c>
      <c r="Z150" s="98" t="str">
        <f t="shared" si="107"/>
        <v>0.999999689588742+0.00195336229105732i</v>
      </c>
      <c r="AA150" s="160">
        <f t="shared" si="118"/>
        <v>1.0000015973996343</v>
      </c>
      <c r="AB150" s="160">
        <f t="shared" si="119"/>
        <v>1.953360412974359E-3</v>
      </c>
      <c r="AC150" s="171" t="str">
        <f t="shared" si="120"/>
        <v>0.920543285191405-8.74307807099049i</v>
      </c>
      <c r="AD150" s="190">
        <f t="shared" si="121"/>
        <v>18.881166436182781</v>
      </c>
      <c r="AE150" s="169">
        <f t="shared" si="122"/>
        <v>-83.989572807212241</v>
      </c>
      <c r="AF150" s="98" t="str">
        <f t="shared" si="108"/>
        <v>-0.0000673063927557778</v>
      </c>
      <c r="AG150" s="98" t="str">
        <f t="shared" si="109"/>
        <v>0.000013216701308041i</v>
      </c>
      <c r="AH150" s="98">
        <f t="shared" si="123"/>
        <v>1.3216701308041E-5</v>
      </c>
      <c r="AI150" s="98">
        <f t="shared" si="124"/>
        <v>1.5707963267948966</v>
      </c>
      <c r="AJ150" s="98" t="str">
        <f t="shared" si="110"/>
        <v>1+0.0132995465303575i</v>
      </c>
      <c r="AK150" s="98">
        <f t="shared" si="125"/>
        <v>1.0000884350585768</v>
      </c>
      <c r="AL150" s="98">
        <f t="shared" si="126"/>
        <v>1.3298762481442569E-2</v>
      </c>
      <c r="AM150" s="98" t="str">
        <f t="shared" si="111"/>
        <v>1+1.96911521275939i</v>
      </c>
      <c r="AN150" s="98">
        <f t="shared" si="127"/>
        <v>2.2084869755378809</v>
      </c>
      <c r="AO150" s="98">
        <f t="shared" si="128"/>
        <v>1.1008945777682724</v>
      </c>
      <c r="AP150" s="168" t="str">
        <f t="shared" si="129"/>
        <v>-9.95828039255312+5.22496644020359i</v>
      </c>
      <c r="AQ150" s="98">
        <f t="shared" si="130"/>
        <v>21.01979354823446</v>
      </c>
      <c r="AR150" s="169">
        <f t="shared" si="131"/>
        <v>152.31465003202521</v>
      </c>
      <c r="AS150" s="168" t="str">
        <f t="shared" si="132"/>
        <v>36.5152613575873+91.8758306967856i</v>
      </c>
      <c r="AT150" s="190">
        <f t="shared" si="133"/>
        <v>39.900959984417241</v>
      </c>
      <c r="AU150" s="169">
        <f t="shared" si="134"/>
        <v>68.325077224812958</v>
      </c>
      <c r="AV150" s="225"/>
      <c r="AX150">
        <f t="shared" si="135"/>
        <v>0</v>
      </c>
      <c r="AY150">
        <f t="shared" si="136"/>
        <v>0</v>
      </c>
    </row>
    <row r="151" spans="14:51" x14ac:dyDescent="0.25">
      <c r="N151" s="170">
        <v>33</v>
      </c>
      <c r="O151" s="199">
        <f t="shared" si="102"/>
        <v>213.79620895022339</v>
      </c>
      <c r="P151" s="189" t="str">
        <f t="shared" si="103"/>
        <v>87</v>
      </c>
      <c r="Q151" s="160" t="str">
        <f t="shared" si="104"/>
        <v>1+10.0749089910506i</v>
      </c>
      <c r="R151" s="160">
        <f t="shared" si="112"/>
        <v>10.124415596860503</v>
      </c>
      <c r="S151" s="160">
        <f t="shared" si="113"/>
        <v>1.4718638870559342</v>
      </c>
      <c r="T151" s="160" t="str">
        <f t="shared" si="105"/>
        <v>1+0.0067166059940337i</v>
      </c>
      <c r="U151" s="160">
        <f t="shared" si="114"/>
        <v>1.0000225561436498</v>
      </c>
      <c r="V151" s="160">
        <f t="shared" si="115"/>
        <v>6.716504995141973E-3</v>
      </c>
      <c r="W151" s="98" t="str">
        <f t="shared" si="106"/>
        <v>1-0.00095151918248811i</v>
      </c>
      <c r="X151" s="160">
        <f t="shared" si="116"/>
        <v>1.000000452694275</v>
      </c>
      <c r="Y151" s="160">
        <f t="shared" si="117"/>
        <v>-9.515188953233434E-4</v>
      </c>
      <c r="Z151" s="98" t="str">
        <f t="shared" si="107"/>
        <v>0.99999967495951+0.00199886194382443i</v>
      </c>
      <c r="AA151" s="160">
        <f t="shared" si="118"/>
        <v>1.000001672682699</v>
      </c>
      <c r="AB151" s="160">
        <f t="shared" si="119"/>
        <v>1.9988599314224608E-3</v>
      </c>
      <c r="AC151" s="171" t="str">
        <f t="shared" si="120"/>
        <v>0.880966203793005-8.54799513448058i</v>
      </c>
      <c r="AD151" s="190">
        <f t="shared" si="121"/>
        <v>18.683171089773616</v>
      </c>
      <c r="AE151" s="169">
        <f t="shared" si="122"/>
        <v>-84.11580561146225</v>
      </c>
      <c r="AF151" s="98" t="str">
        <f t="shared" si="108"/>
        <v>-0.0000673063927557778</v>
      </c>
      <c r="AG151" s="98" t="str">
        <f t="shared" si="109"/>
        <v>0.0000135245578295863i</v>
      </c>
      <c r="AH151" s="98">
        <f t="shared" si="123"/>
        <v>1.35245578295863E-5</v>
      </c>
      <c r="AI151" s="98">
        <f t="shared" si="124"/>
        <v>1.5707963267948966</v>
      </c>
      <c r="AJ151" s="98" t="str">
        <f t="shared" si="110"/>
        <v>1+0.0136093327650266i</v>
      </c>
      <c r="AK151" s="98">
        <f t="shared" si="125"/>
        <v>1.0000926026815262</v>
      </c>
      <c r="AL151" s="98">
        <f t="shared" si="126"/>
        <v>1.3608492645679321E-2</v>
      </c>
      <c r="AM151" s="98" t="str">
        <f t="shared" si="111"/>
        <v>1+2.01498179821011i</v>
      </c>
      <c r="AN151" s="98">
        <f t="shared" si="127"/>
        <v>2.2494780832713284</v>
      </c>
      <c r="AO151" s="98">
        <f t="shared" si="128"/>
        <v>1.1101272192522755</v>
      </c>
      <c r="AP151" s="168" t="str">
        <f t="shared" si="129"/>
        <v>-9.95819739569591+5.11213020868693i</v>
      </c>
      <c r="AQ151" s="98">
        <f t="shared" si="130"/>
        <v>20.979495828214716</v>
      </c>
      <c r="AR151" s="169">
        <f t="shared" si="131"/>
        <v>152.82589519161724</v>
      </c>
      <c r="AS151" s="168" t="str">
        <f t="shared" si="132"/>
        <v>34.9256287943794+89.6262368298483i</v>
      </c>
      <c r="AT151" s="190">
        <f t="shared" si="133"/>
        <v>39.662666917988332</v>
      </c>
      <c r="AU151" s="169">
        <f t="shared" si="134"/>
        <v>68.710089580155042</v>
      </c>
      <c r="AV151" s="225"/>
      <c r="AX151">
        <f t="shared" si="135"/>
        <v>0</v>
      </c>
      <c r="AY151">
        <f t="shared" si="136"/>
        <v>0</v>
      </c>
    </row>
    <row r="152" spans="14:51" x14ac:dyDescent="0.25">
      <c r="N152" s="170">
        <v>34</v>
      </c>
      <c r="O152" s="199">
        <f t="shared" si="102"/>
        <v>218.77616239495524</v>
      </c>
      <c r="P152" s="189" t="str">
        <f t="shared" si="103"/>
        <v>87</v>
      </c>
      <c r="Q152" s="160" t="str">
        <f t="shared" si="104"/>
        <v>1+10.3095837684084i</v>
      </c>
      <c r="R152" s="160">
        <f t="shared" si="112"/>
        <v>10.357968791120676</v>
      </c>
      <c r="S152" s="160">
        <f t="shared" si="113"/>
        <v>1.4741016919259748</v>
      </c>
      <c r="T152" s="160" t="str">
        <f t="shared" si="105"/>
        <v>1+0.0068730558456056i</v>
      </c>
      <c r="U152" s="160">
        <f t="shared" si="114"/>
        <v>1.0000236191693959</v>
      </c>
      <c r="V152" s="160">
        <f t="shared" si="115"/>
        <v>6.8729476234813567E-3</v>
      </c>
      <c r="W152" s="98" t="str">
        <f t="shared" si="106"/>
        <v>1-0.000973682911460795i</v>
      </c>
      <c r="X152" s="160">
        <f t="shared" si="116"/>
        <v>1.0000004740290938</v>
      </c>
      <c r="Y152" s="160">
        <f t="shared" si="117"/>
        <v>-9.7368260375821174E-4</v>
      </c>
      <c r="Z152" s="98" t="str">
        <f t="shared" si="107"/>
        <v>0.999999659640823+0.00204542141965223i</v>
      </c>
      <c r="AA152" s="160">
        <f t="shared" si="118"/>
        <v>1.0000017515137392</v>
      </c>
      <c r="AB152" s="160">
        <f t="shared" si="119"/>
        <v>2.0454192633248733E-3</v>
      </c>
      <c r="AC152" s="171" t="str">
        <f t="shared" si="120"/>
        <v>0.843136395660496-8.35709405760225i</v>
      </c>
      <c r="AD152" s="190">
        <f t="shared" si="121"/>
        <v>18.485087144546409</v>
      </c>
      <c r="AE152" s="169">
        <f t="shared" si="122"/>
        <v>-84.238996423716245</v>
      </c>
      <c r="AF152" s="98" t="str">
        <f t="shared" si="108"/>
        <v>-0.0000673063927557778</v>
      </c>
      <c r="AG152" s="98" t="str">
        <f t="shared" si="109"/>
        <v>0.0000138395852507114i</v>
      </c>
      <c r="AH152" s="98">
        <f t="shared" si="123"/>
        <v>1.3839585250711399E-5</v>
      </c>
      <c r="AI152" s="98">
        <f t="shared" si="124"/>
        <v>1.5707963267948966</v>
      </c>
      <c r="AJ152" s="98" t="str">
        <f t="shared" si="110"/>
        <v>1+0.0139263348480686i</v>
      </c>
      <c r="AK152" s="98">
        <f t="shared" si="125"/>
        <v>1.0000969666998798</v>
      </c>
      <c r="AL152" s="98">
        <f t="shared" si="126"/>
        <v>1.3925434648683189E-2</v>
      </c>
      <c r="AM152" s="98" t="str">
        <f t="shared" si="111"/>
        <v>1+2.06191675368168i</v>
      </c>
      <c r="AN152" s="98">
        <f t="shared" si="127"/>
        <v>2.2916153034733378</v>
      </c>
      <c r="AO152" s="98">
        <f t="shared" si="128"/>
        <v>1.1192321978807942</v>
      </c>
      <c r="AP152" s="168" t="str">
        <f t="shared" si="129"/>
        <v>-9.95811048880027+5.00200438980004i</v>
      </c>
      <c r="AQ152" s="98">
        <f t="shared" si="130"/>
        <v>20.940656879217869</v>
      </c>
      <c r="AR152" s="169">
        <f t="shared" si="131"/>
        <v>153.32941260046567</v>
      </c>
      <c r="AS152" s="168" t="str">
        <f t="shared" si="132"/>
        <v>33.4061757769822+87.4382379431934i</v>
      </c>
      <c r="AT152" s="190">
        <f t="shared" si="133"/>
        <v>39.425744023764281</v>
      </c>
      <c r="AU152" s="169">
        <f t="shared" si="134"/>
        <v>69.090416176749443</v>
      </c>
      <c r="AV152" s="225"/>
      <c r="AX152">
        <f t="shared" si="135"/>
        <v>0</v>
      </c>
      <c r="AY152">
        <f t="shared" si="136"/>
        <v>0</v>
      </c>
    </row>
    <row r="153" spans="14:51" x14ac:dyDescent="0.25">
      <c r="N153" s="170">
        <v>35</v>
      </c>
      <c r="O153" s="199">
        <f t="shared" si="102"/>
        <v>223.87211385683412</v>
      </c>
      <c r="P153" s="189" t="str">
        <f t="shared" si="103"/>
        <v>87</v>
      </c>
      <c r="Q153" s="160" t="str">
        <f t="shared" si="104"/>
        <v>1+10.5497248235438i</v>
      </c>
      <c r="R153" s="160">
        <f t="shared" si="112"/>
        <v>10.597013440233823</v>
      </c>
      <c r="S153" s="160">
        <f t="shared" si="113"/>
        <v>1.4762894972642129</v>
      </c>
      <c r="T153" s="160" t="str">
        <f t="shared" si="105"/>
        <v>1+0.0070331498823625i</v>
      </c>
      <c r="U153" s="160">
        <f t="shared" si="114"/>
        <v>1.0000247322927907</v>
      </c>
      <c r="V153" s="160">
        <f t="shared" si="115"/>
        <v>7.0330339204220131E-3</v>
      </c>
      <c r="W153" s="98" t="str">
        <f t="shared" si="106"/>
        <v>1-0.000996362900001356i</v>
      </c>
      <c r="X153" s="160">
        <f t="shared" si="116"/>
        <v>1.0000004963693911</v>
      </c>
      <c r="Y153" s="160">
        <f t="shared" si="117"/>
        <v>-9.9636257029210649E-4</v>
      </c>
      <c r="Z153" s="98" t="str">
        <f t="shared" si="107"/>
        <v>0.999999643600189+0.00209306540499108i</v>
      </c>
      <c r="AA153" s="160">
        <f t="shared" si="118"/>
        <v>1.0000018340599655</v>
      </c>
      <c r="AB153" s="160">
        <f t="shared" si="119"/>
        <v>2.0930630944449159E-3</v>
      </c>
      <c r="AC153" s="171" t="str">
        <f t="shared" si="120"/>
        <v>0.806978170163682-8.17029657837614i</v>
      </c>
      <c r="AD153" s="190">
        <f t="shared" si="121"/>
        <v>18.286918549598418</v>
      </c>
      <c r="AE153" s="169">
        <f t="shared" si="122"/>
        <v>-84.359205423625824</v>
      </c>
      <c r="AF153" s="98" t="str">
        <f t="shared" si="108"/>
        <v>-0.0000673063927557778</v>
      </c>
      <c r="AG153" s="98" t="str">
        <f t="shared" si="109"/>
        <v>0.0000141619506031251i</v>
      </c>
      <c r="AH153" s="98">
        <f t="shared" si="123"/>
        <v>1.41619506031251E-5</v>
      </c>
      <c r="AI153" s="98">
        <f t="shared" si="124"/>
        <v>1.5707963267948966</v>
      </c>
      <c r="AJ153" s="98" t="str">
        <f t="shared" si="110"/>
        <v>1+0.0142507208581838i</v>
      </c>
      <c r="AK153" s="98">
        <f t="shared" si="125"/>
        <v>1.000101536367672</v>
      </c>
      <c r="AL153" s="98">
        <f t="shared" si="126"/>
        <v>1.4249756282452787E-2</v>
      </c>
      <c r="AM153" s="98" t="str">
        <f t="shared" si="111"/>
        <v>1+2.10994496470875i</v>
      </c>
      <c r="AN153" s="98">
        <f t="shared" si="127"/>
        <v>2.3349235006954312</v>
      </c>
      <c r="AO153" s="98">
        <f t="shared" si="128"/>
        <v>1.1282083018008813</v>
      </c>
      <c r="AP153" s="168" t="str">
        <f t="shared" si="129"/>
        <v>-9.95801948773457+4.89453058576402i</v>
      </c>
      <c r="AQ153" s="98">
        <f t="shared" si="130"/>
        <v>20.903236041295262</v>
      </c>
      <c r="AR153" s="169">
        <f t="shared" si="131"/>
        <v>153.8251232107377</v>
      </c>
      <c r="AS153" s="168" t="str">
        <f t="shared" si="132"/>
        <v>31.9538621529588+85.3097518839507i</v>
      </c>
      <c r="AT153" s="190">
        <f t="shared" si="133"/>
        <v>39.190154590893677</v>
      </c>
      <c r="AU153" s="169">
        <f t="shared" si="134"/>
        <v>69.465917787111891</v>
      </c>
      <c r="AV153" s="225"/>
      <c r="AX153">
        <f t="shared" si="135"/>
        <v>0</v>
      </c>
      <c r="AY153">
        <f t="shared" si="136"/>
        <v>0</v>
      </c>
    </row>
    <row r="154" spans="14:51" x14ac:dyDescent="0.25">
      <c r="N154" s="170">
        <v>36</v>
      </c>
      <c r="O154" s="199">
        <f t="shared" si="102"/>
        <v>229.08676527677744</v>
      </c>
      <c r="P154" s="189" t="str">
        <f t="shared" si="103"/>
        <v>87</v>
      </c>
      <c r="Q154" s="160" t="str">
        <f t="shared" si="104"/>
        <v>1+10.7954594824227i</v>
      </c>
      <c r="R154" s="160">
        <f t="shared" si="112"/>
        <v>10.841676320414209</v>
      </c>
      <c r="S154" s="160">
        <f t="shared" si="113"/>
        <v>1.4784283792525681</v>
      </c>
      <c r="T154" s="160" t="str">
        <f t="shared" si="105"/>
        <v>1+0.00719697298828175i</v>
      </c>
      <c r="U154" s="160">
        <f t="shared" si="114"/>
        <v>1.0000258978747472</v>
      </c>
      <c r="V154" s="160">
        <f t="shared" si="115"/>
        <v>7.1968487329976388E-3</v>
      </c>
      <c r="W154" s="98" t="str">
        <f t="shared" si="106"/>
        <v>1-0.00101957117333992i</v>
      </c>
      <c r="X154" s="160">
        <f t="shared" si="116"/>
        <v>1.0000005197625537</v>
      </c>
      <c r="Y154" s="160">
        <f t="shared" si="117"/>
        <v>-1.019570820050104E-3</v>
      </c>
      <c r="Z154" s="98" t="str">
        <f t="shared" si="107"/>
        <v>0.999999626803584+0.00214181916131265i</v>
      </c>
      <c r="AA154" s="160">
        <f t="shared" si="118"/>
        <v>1.0000019204964694</v>
      </c>
      <c r="AB154" s="160">
        <f t="shared" si="119"/>
        <v>2.1418166855180819E-3</v>
      </c>
      <c r="AC154" s="171" t="str">
        <f t="shared" si="120"/>
        <v>0.772418988986741-7.98752512462692i</v>
      </c>
      <c r="AD154" s="190">
        <f t="shared" si="121"/>
        <v>18.08866908448185</v>
      </c>
      <c r="AE154" s="169">
        <f t="shared" si="122"/>
        <v>-84.476491546818394</v>
      </c>
      <c r="AF154" s="98" t="str">
        <f t="shared" si="108"/>
        <v>-0.0000673063927557778</v>
      </c>
      <c r="AG154" s="98" t="str">
        <f t="shared" si="109"/>
        <v>0.0000144918248092041i</v>
      </c>
      <c r="AH154" s="98">
        <f t="shared" si="123"/>
        <v>1.44918248092041E-5</v>
      </c>
      <c r="AI154" s="98">
        <f t="shared" si="124"/>
        <v>1.5707963267948966</v>
      </c>
      <c r="AJ154" s="98" t="str">
        <f t="shared" si="110"/>
        <v>1+0.0145826627891287i</v>
      </c>
      <c r="AK154" s="98">
        <f t="shared" si="125"/>
        <v>1.0001063213748933</v>
      </c>
      <c r="AL154" s="98">
        <f t="shared" si="126"/>
        <v>1.4581629233545853E-2</v>
      </c>
      <c r="AM154" s="98" t="str">
        <f t="shared" si="111"/>
        <v>1+2.15909189648452i</v>
      </c>
      <c r="AN154" s="98">
        <f t="shared" si="127"/>
        <v>2.3794280441873257</v>
      </c>
      <c r="AO154" s="98">
        <f t="shared" si="128"/>
        <v>1.1370545036003894</v>
      </c>
      <c r="AP154" s="168" t="str">
        <f t="shared" si="129"/>
        <v>-9.95792419970334+4.78965180438944i</v>
      </c>
      <c r="AQ154" s="98">
        <f t="shared" si="130"/>
        <v>20.867192875830753</v>
      </c>
      <c r="AR154" s="169">
        <f t="shared" si="131"/>
        <v>154.31295831913835</v>
      </c>
      <c r="AS154" s="168" t="str">
        <f t="shared" si="132"/>
        <v>30.5657743830339+83.2387877386059i</v>
      </c>
      <c r="AT154" s="190">
        <f t="shared" si="133"/>
        <v>38.95586196031261</v>
      </c>
      <c r="AU154" s="169">
        <f t="shared" si="134"/>
        <v>69.836466772319937</v>
      </c>
      <c r="AV154" s="225"/>
      <c r="AX154">
        <f t="shared" si="135"/>
        <v>0</v>
      </c>
      <c r="AY154">
        <f t="shared" si="136"/>
        <v>0</v>
      </c>
    </row>
    <row r="155" spans="14:51" x14ac:dyDescent="0.25">
      <c r="N155" s="170">
        <v>37</v>
      </c>
      <c r="O155" s="199">
        <f t="shared" si="102"/>
        <v>234.42288153199232</v>
      </c>
      <c r="P155" s="189" t="str">
        <f t="shared" si="103"/>
        <v>87</v>
      </c>
      <c r="Q155" s="160" t="str">
        <f t="shared" si="104"/>
        <v>1+11.0469180368139i</v>
      </c>
      <c r="R155" s="160">
        <f t="shared" si="112"/>
        <v>11.092087184659354</v>
      </c>
      <c r="S155" s="160">
        <f t="shared" si="113"/>
        <v>1.4805193936314671</v>
      </c>
      <c r="T155" s="160" t="str">
        <f t="shared" si="105"/>
        <v>1+0.00736461202454255i</v>
      </c>
      <c r="U155" s="160">
        <f t="shared" si="114"/>
        <v>1.0000271183874325</v>
      </c>
      <c r="V155" s="160">
        <f t="shared" si="115"/>
        <v>7.3644788828018453E-3</v>
      </c>
      <c r="W155" s="98" t="str">
        <f t="shared" si="106"/>
        <v>1-0.0010433200368102i</v>
      </c>
      <c r="X155" s="160">
        <f t="shared" si="116"/>
        <v>1.0000005442582014</v>
      </c>
      <c r="Y155" s="160">
        <f t="shared" si="117"/>
        <v>-1.0433196582533531E-3</v>
      </c>
      <c r="Z155" s="98" t="str">
        <f t="shared" si="107"/>
        <v>0.999999609215379+0.00219170853850386i</v>
      </c>
      <c r="AA155" s="160">
        <f t="shared" si="118"/>
        <v>1.0000020110065921</v>
      </c>
      <c r="AB155" s="160">
        <f t="shared" si="119"/>
        <v>2.1917058856424699E-3</v>
      </c>
      <c r="AC155" s="171" t="str">
        <f t="shared" si="120"/>
        <v>0.739389345965295-7.80870286710221i</v>
      </c>
      <c r="AD155" s="190">
        <f t="shared" si="121"/>
        <v>17.890342366354496</v>
      </c>
      <c r="AE155" s="169">
        <f t="shared" si="122"/>
        <v>-84.590912494335342</v>
      </c>
      <c r="AF155" s="98" t="str">
        <f t="shared" si="108"/>
        <v>-0.0000673063927557778</v>
      </c>
      <c r="AG155" s="98" t="str">
        <f t="shared" si="109"/>
        <v>0.0000148293827726189i</v>
      </c>
      <c r="AH155" s="98">
        <f t="shared" si="123"/>
        <v>1.48293827726189E-5</v>
      </c>
      <c r="AI155" s="98">
        <f t="shared" si="124"/>
        <v>1.5707963267948966</v>
      </c>
      <c r="AJ155" s="98" t="str">
        <f t="shared" si="110"/>
        <v>1+0.0149223366409086i</v>
      </c>
      <c r="AK155" s="98">
        <f t="shared" si="125"/>
        <v>1.0001113318680199</v>
      </c>
      <c r="AL155" s="98">
        <f t="shared" si="126"/>
        <v>1.4921229172806843E-2</v>
      </c>
      <c r="AM155" s="98" t="str">
        <f t="shared" si="111"/>
        <v>1+2.20938360736276i</v>
      </c>
      <c r="AN155" s="98">
        <f t="shared" si="127"/>
        <v>2.4251548248479482</v>
      </c>
      <c r="AO155" s="98">
        <f t="shared" si="128"/>
        <v>1.1457699545425089</v>
      </c>
      <c r="AP155" s="168" t="str">
        <f t="shared" si="129"/>
        <v>-9.95782442284011+4.68731242881929i</v>
      </c>
      <c r="AQ155" s="98">
        <f t="shared" si="130"/>
        <v>20.832487235855929</v>
      </c>
      <c r="AR155" s="169">
        <f t="shared" si="131"/>
        <v>154.79285923143254</v>
      </c>
      <c r="AS155" s="168" t="str">
        <f t="shared" si="132"/>
        <v>29.239120714684+81.2234409918117i</v>
      </c>
      <c r="AT155" s="190">
        <f t="shared" si="133"/>
        <v>38.722829602210432</v>
      </c>
      <c r="AU155" s="169">
        <f t="shared" si="134"/>
        <v>70.201946737097245</v>
      </c>
      <c r="AV155" s="225"/>
      <c r="AX155">
        <f t="shared" si="135"/>
        <v>0</v>
      </c>
      <c r="AY155">
        <f t="shared" si="136"/>
        <v>0</v>
      </c>
    </row>
    <row r="156" spans="14:51" x14ac:dyDescent="0.25">
      <c r="N156" s="170">
        <v>38</v>
      </c>
      <c r="O156" s="199">
        <f t="shared" si="102"/>
        <v>239.88329190194912</v>
      </c>
      <c r="P156" s="189" t="str">
        <f t="shared" si="103"/>
        <v>87</v>
      </c>
      <c r="Q156" s="160" t="str">
        <f t="shared" si="104"/>
        <v>1+11.3042338133715i</v>
      </c>
      <c r="R156" s="160">
        <f t="shared" si="112"/>
        <v>11.348378831682151</v>
      </c>
      <c r="S156" s="160">
        <f t="shared" si="113"/>
        <v>1.4825635759029676</v>
      </c>
      <c r="T156" s="160" t="str">
        <f t="shared" si="105"/>
        <v>1+0.007536155875581i</v>
      </c>
      <c r="U156" s="160">
        <f t="shared" si="114"/>
        <v>1.0000283964195122</v>
      </c>
      <c r="V156" s="160">
        <f t="shared" si="115"/>
        <v>7.536013211854293E-3</v>
      </c>
      <c r="W156" s="98" t="str">
        <f t="shared" si="106"/>
        <v>1-0.00106762208237398i</v>
      </c>
      <c r="X156" s="160">
        <f t="shared" si="116"/>
        <v>1.000000569908293</v>
      </c>
      <c r="Y156" s="160">
        <f t="shared" si="117"/>
        <v>-1.0676216767430229E-3</v>
      </c>
      <c r="Z156" s="98" t="str">
        <f t="shared" si="107"/>
        <v>0.999999590798267+0.00224275998857291i</v>
      </c>
      <c r="AA156" s="160">
        <f t="shared" si="118"/>
        <v>1.0000021057823167</v>
      </c>
      <c r="AB156" s="160">
        <f t="shared" si="119"/>
        <v>2.2427571459810365E-3</v>
      </c>
      <c r="AC156" s="171" t="str">
        <f t="shared" si="120"/>
        <v>0.707822650505125-7.6337537672183i</v>
      </c>
      <c r="AD156" s="190">
        <f t="shared" si="121"/>
        <v>17.691941856861632</v>
      </c>
      <c r="AE156" s="169">
        <f t="shared" si="122"/>
        <v>-84.702524742800833</v>
      </c>
      <c r="AF156" s="98" t="str">
        <f t="shared" si="108"/>
        <v>-0.0000673063927557778</v>
      </c>
      <c r="AG156" s="98" t="str">
        <f t="shared" si="109"/>
        <v>0.0000151748034710699i</v>
      </c>
      <c r="AH156" s="98">
        <f t="shared" si="123"/>
        <v>1.51748034710699E-5</v>
      </c>
      <c r="AI156" s="98">
        <f t="shared" si="124"/>
        <v>1.5707963267948966</v>
      </c>
      <c r="AJ156" s="98" t="str">
        <f t="shared" si="110"/>
        <v>1+0.0152699225130962i</v>
      </c>
      <c r="AK156" s="98">
        <f t="shared" si="125"/>
        <v>1.000116578471508</v>
      </c>
      <c r="AL156" s="98">
        <f t="shared" si="126"/>
        <v>1.5268735847115853E-2</v>
      </c>
      <c r="AM156" s="98" t="str">
        <f t="shared" si="111"/>
        <v>1+2.2608467626743i</v>
      </c>
      <c r="AN156" s="98">
        <f t="shared" si="127"/>
        <v>2.4721302725169769</v>
      </c>
      <c r="AO156" s="98">
        <f t="shared" si="128"/>
        <v>1.154353978503073</v>
      </c>
      <c r="AP156" s="168" t="str">
        <f t="shared" si="129"/>
        <v>-9.95771994578134+4.58745818799855i</v>
      </c>
      <c r="AQ156" s="98">
        <f t="shared" si="130"/>
        <v>20.799079331394822</v>
      </c>
      <c r="AR156" s="169">
        <f t="shared" si="131"/>
        <v>155.26477690982159</v>
      </c>
      <c r="AS156" s="168" t="str">
        <f t="shared" si="132"/>
        <v>27.9712264995797+79.2618889627237i</v>
      </c>
      <c r="AT156" s="190">
        <f t="shared" si="133"/>
        <v>38.491021188256454</v>
      </c>
      <c r="AU156" s="169">
        <f t="shared" si="134"/>
        <v>70.562252167020787</v>
      </c>
      <c r="AV156" s="225"/>
      <c r="AX156">
        <f t="shared" si="135"/>
        <v>0</v>
      </c>
      <c r="AY156">
        <f t="shared" si="136"/>
        <v>0</v>
      </c>
    </row>
    <row r="157" spans="14:51" x14ac:dyDescent="0.25">
      <c r="N157" s="170">
        <v>39</v>
      </c>
      <c r="O157" s="199">
        <f t="shared" si="102"/>
        <v>245.4708915685033</v>
      </c>
      <c r="P157" s="189" t="str">
        <f t="shared" si="103"/>
        <v>87</v>
      </c>
      <c r="Q157" s="160" t="str">
        <f t="shared" si="104"/>
        <v>1+11.5675432443262i</v>
      </c>
      <c r="R157" s="160">
        <f t="shared" si="112"/>
        <v>11.610687176448977</v>
      </c>
      <c r="S157" s="160">
        <f t="shared" si="113"/>
        <v>1.4845619415458504</v>
      </c>
      <c r="T157" s="160" t="str">
        <f t="shared" si="105"/>
        <v>1+0.00771169549621745i</v>
      </c>
      <c r="U157" s="160">
        <f t="shared" si="114"/>
        <v>1.0000297346816376</v>
      </c>
      <c r="V157" s="160">
        <f t="shared" si="115"/>
        <v>7.7115426295256131E-3</v>
      </c>
      <c r="W157" s="98" t="str">
        <f t="shared" si="106"/>
        <v>1-0.00109249019529747i</v>
      </c>
      <c r="X157" s="160">
        <f t="shared" si="116"/>
        <v>1.0000005967672354</v>
      </c>
      <c r="Y157" s="160">
        <f t="shared" si="117"/>
        <v>-1.0924897606560827E-3</v>
      </c>
      <c r="Z157" s="98" t="str">
        <f t="shared" si="107"/>
        <v>0.999999571513183+0.00229500057967431i</v>
      </c>
      <c r="AA157" s="160">
        <f t="shared" si="118"/>
        <v>1.0000022050246742</v>
      </c>
      <c r="AB157" s="160">
        <f t="shared" si="119"/>
        <v>2.2949975337826006E-3</v>
      </c>
      <c r="AC157" s="171" t="str">
        <f t="shared" si="120"/>
        <v>0.677655114571188-7.46260261978635i</v>
      </c>
      <c r="AD157" s="190">
        <f t="shared" si="121"/>
        <v>17.493470868755448</v>
      </c>
      <c r="AE157" s="169">
        <f t="shared" si="122"/>
        <v>-84.811383555242955</v>
      </c>
      <c r="AF157" s="98" t="str">
        <f t="shared" si="108"/>
        <v>-0.0000673063927557778</v>
      </c>
      <c r="AG157" s="98" t="str">
        <f t="shared" si="109"/>
        <v>0.0000155282700511835i</v>
      </c>
      <c r="AH157" s="98">
        <f t="shared" si="123"/>
        <v>1.55282700511835E-5</v>
      </c>
      <c r="AI157" s="98">
        <f t="shared" si="124"/>
        <v>1.5707963267948966</v>
      </c>
      <c r="AJ157" s="98" t="str">
        <f t="shared" si="110"/>
        <v>1+0.0156256047003214i</v>
      </c>
      <c r="AK157" s="98">
        <f t="shared" si="125"/>
        <v>1.0001220723103008</v>
      </c>
      <c r="AL157" s="98">
        <f t="shared" si="126"/>
        <v>1.562433317319664E-2</v>
      </c>
      <c r="AM157" s="98" t="str">
        <f t="shared" si="111"/>
        <v>1+2.31350864886523i</v>
      </c>
      <c r="AN157" s="98">
        <f t="shared" si="127"/>
        <v>2.520381373596905</v>
      </c>
      <c r="AO157" s="98">
        <f t="shared" si="128"/>
        <v>1.1628060656608541</v>
      </c>
      <c r="AP157" s="168" t="str">
        <f t="shared" si="129"/>
        <v>-9.9576105472201+4.49003612785445i</v>
      </c>
      <c r="AQ157" s="98">
        <f t="shared" si="130"/>
        <v>20.766929789838656</v>
      </c>
      <c r="AR157" s="169">
        <f t="shared" si="131"/>
        <v>155.72867160604869</v>
      </c>
      <c r="AS157" s="168" t="str">
        <f t="shared" si="132"/>
        <v>26.7595296544303+77.3523865031469i</v>
      </c>
      <c r="AT157" s="190">
        <f t="shared" si="133"/>
        <v>38.260400658594108</v>
      </c>
      <c r="AU157" s="169">
        <f t="shared" si="134"/>
        <v>70.917288050805709</v>
      </c>
      <c r="AV157" s="225"/>
      <c r="AX157">
        <f t="shared" si="135"/>
        <v>0</v>
      </c>
      <c r="AY157">
        <f t="shared" si="136"/>
        <v>0</v>
      </c>
    </row>
    <row r="158" spans="14:51" x14ac:dyDescent="0.25">
      <c r="N158" s="170">
        <v>40</v>
      </c>
      <c r="O158" s="199">
        <f t="shared" si="102"/>
        <v>251.18864315095806</v>
      </c>
      <c r="P158" s="189" t="str">
        <f t="shared" si="103"/>
        <v>87</v>
      </c>
      <c r="Q158" s="160" t="str">
        <f t="shared" si="104"/>
        <v>1+11.8369859398236i</v>
      </c>
      <c r="R158" s="160">
        <f t="shared" si="112"/>
        <v>11.879151322362283</v>
      </c>
      <c r="S158" s="160">
        <f t="shared" si="113"/>
        <v>1.4865154862413987</v>
      </c>
      <c r="T158" s="160" t="str">
        <f t="shared" si="105"/>
        <v>1+0.0078913239598824i</v>
      </c>
      <c r="U158" s="160">
        <f t="shared" si="114"/>
        <v>1.0000311360121943</v>
      </c>
      <c r="V158" s="160">
        <f t="shared" si="115"/>
        <v>7.8911601605464073E-3</v>
      </c>
      <c r="W158" s="98" t="str">
        <f t="shared" si="106"/>
        <v>1-0.00111793756098334i</v>
      </c>
      <c r="X158" s="160">
        <f t="shared" si="116"/>
        <v>1.0000006248919999</v>
      </c>
      <c r="Y158" s="160">
        <f t="shared" si="117"/>
        <v>-1.1179370952567181E-3</v>
      </c>
      <c r="Z158" s="98" t="str">
        <f t="shared" si="107"/>
        <v>0.999999551319222+0.002348458010461i</v>
      </c>
      <c r="AA158" s="160">
        <f t="shared" si="118"/>
        <v>1.0000023089441705</v>
      </c>
      <c r="AB158" s="160">
        <f t="shared" si="119"/>
        <v>2.3484547467296328E-3</v>
      </c>
      <c r="AC158" s="171" t="str">
        <f t="shared" si="120"/>
        <v>0.64882564322459-7.29517509105607i</v>
      </c>
      <c r="AD158" s="190">
        <f t="shared" si="121"/>
        <v>17.294932572260734</v>
      </c>
      <c r="AE158" s="169">
        <f t="shared" si="122"/>
        <v>-84.917542992492869</v>
      </c>
      <c r="AF158" s="98" t="str">
        <f t="shared" si="108"/>
        <v>-0.0000673063927557778</v>
      </c>
      <c r="AG158" s="98" t="str">
        <f t="shared" si="109"/>
        <v>0.0000158899699256192i</v>
      </c>
      <c r="AH158" s="98">
        <f t="shared" si="123"/>
        <v>1.5889969925619201E-5</v>
      </c>
      <c r="AI158" s="98">
        <f t="shared" si="124"/>
        <v>1.5707963267948966</v>
      </c>
      <c r="AJ158" s="98" t="str">
        <f t="shared" si="110"/>
        <v>1+0.0159895717899882i</v>
      </c>
      <c r="AK158" s="98">
        <f t="shared" si="125"/>
        <v>1.000127825033394</v>
      </c>
      <c r="AL158" s="98">
        <f t="shared" si="126"/>
        <v>1.5988209333531549E-2</v>
      </c>
      <c r="AM158" s="98" t="str">
        <f t="shared" si="111"/>
        <v>1+2.36739718796472i</v>
      </c>
      <c r="AN158" s="98">
        <f t="shared" si="127"/>
        <v>2.5699356889975409</v>
      </c>
      <c r="AO158" s="98">
        <f t="shared" si="128"/>
        <v>1.1711258659889905</v>
      </c>
      <c r="AP158" s="168" t="str">
        <f t="shared" si="129"/>
        <v>-9.95749599543993+4.39499458317164i</v>
      </c>
      <c r="AQ158" s="98">
        <f t="shared" si="130"/>
        <v>20.735999711387159</v>
      </c>
      <c r="AR158" s="169">
        <f t="shared" si="131"/>
        <v>156.18451248298979</v>
      </c>
      <c r="AS158" s="168" t="str">
        <f t="shared" si="132"/>
        <v>25.6015762643325+75.4932619426189i</v>
      </c>
      <c r="AT158" s="190">
        <f t="shared" si="133"/>
        <v>38.030932283647893</v>
      </c>
      <c r="AU158" s="169">
        <f t="shared" si="134"/>
        <v>71.266969490496962</v>
      </c>
      <c r="AV158" s="225"/>
      <c r="AX158">
        <f t="shared" si="135"/>
        <v>0</v>
      </c>
      <c r="AY158">
        <f t="shared" si="136"/>
        <v>0</v>
      </c>
    </row>
    <row r="159" spans="14:51" x14ac:dyDescent="0.25">
      <c r="N159" s="170">
        <v>41</v>
      </c>
      <c r="O159" s="199">
        <f t="shared" si="102"/>
        <v>257.03957827688663</v>
      </c>
      <c r="P159" s="189" t="str">
        <f t="shared" si="103"/>
        <v>87</v>
      </c>
      <c r="Q159" s="160" t="str">
        <f t="shared" si="104"/>
        <v>1+12.1127047619473i</v>
      </c>
      <c r="R159" s="160">
        <f t="shared" si="112"/>
        <v>12.153913635125965</v>
      </c>
      <c r="S159" s="160">
        <f t="shared" si="113"/>
        <v>1.4884251861086646</v>
      </c>
      <c r="T159" s="160" t="str">
        <f t="shared" si="105"/>
        <v>1+0.00807513650796485i</v>
      </c>
      <c r="U159" s="160">
        <f t="shared" si="114"/>
        <v>1.0000326033833207</v>
      </c>
      <c r="V159" s="160">
        <f t="shared" si="115"/>
        <v>8.074960994123196E-3</v>
      </c>
      <c r="W159" s="98" t="str">
        <f t="shared" si="106"/>
        <v>1-0.00114397767196169i</v>
      </c>
      <c r="X159" s="160">
        <f t="shared" si="116"/>
        <v>1.0000006543422428</v>
      </c>
      <c r="Y159" s="160">
        <f t="shared" si="117"/>
        <v>-1.1439771729266416E-3</v>
      </c>
      <c r="Z159" s="98" t="str">
        <f t="shared" si="107"/>
        <v>0.999999530173548+0.00240316062477034i</v>
      </c>
      <c r="AA159" s="160">
        <f t="shared" si="118"/>
        <v>1.0000024177612299</v>
      </c>
      <c r="AB159" s="160">
        <f t="shared" si="119"/>
        <v>2.4031571276196262E-3</v>
      </c>
      <c r="AC159" s="171" t="str">
        <f t="shared" si="120"/>
        <v>0.621275728675189-7.13139775239519i</v>
      </c>
      <c r="AD159" s="190">
        <f t="shared" si="121"/>
        <v>17.096330001195042</v>
      </c>
      <c r="AE159" s="169">
        <f t="shared" si="122"/>
        <v>-85.021055925091943</v>
      </c>
      <c r="AF159" s="98" t="str">
        <f t="shared" si="108"/>
        <v>-0.0000673063927557778</v>
      </c>
      <c r="AG159" s="98" t="str">
        <f t="shared" si="109"/>
        <v>0.000016260094872438i</v>
      </c>
      <c r="AH159" s="98">
        <f t="shared" si="123"/>
        <v>1.6260094872438E-5</v>
      </c>
      <c r="AI159" s="98">
        <f t="shared" si="124"/>
        <v>1.5707963267948966</v>
      </c>
      <c r="AJ159" s="98" t="str">
        <f t="shared" si="110"/>
        <v>1+0.0163620167622649i</v>
      </c>
      <c r="AK159" s="98">
        <f t="shared" si="125"/>
        <v>1.0001338488385085</v>
      </c>
      <c r="AL159" s="98">
        <f t="shared" si="126"/>
        <v>1.6360556874421079E-2</v>
      </c>
      <c r="AM159" s="98" t="str">
        <f t="shared" si="111"/>
        <v>1+2.42254095238945i</v>
      </c>
      <c r="AN159" s="98">
        <f t="shared" si="127"/>
        <v>2.6208213723953002</v>
      </c>
      <c r="AO159" s="98">
        <f t="shared" si="128"/>
        <v>1.1793131825930727</v>
      </c>
      <c r="AP159" s="168" t="str">
        <f t="shared" si="129"/>
        <v>-9.95737604782539+4.30228315014742i</v>
      </c>
      <c r="AQ159" s="98">
        <f t="shared" si="130"/>
        <v>20.706250719621266</v>
      </c>
      <c r="AR159" s="169">
        <f t="shared" si="131"/>
        <v>156.632277227336</v>
      </c>
      <c r="AS159" s="168" t="str">
        <f t="shared" si="132"/>
        <v>24.4950163273234+73.6829132662905i</v>
      </c>
      <c r="AT159" s="190">
        <f t="shared" si="133"/>
        <v>37.802580720816309</v>
      </c>
      <c r="AU159" s="169">
        <f t="shared" si="134"/>
        <v>71.611221302244061</v>
      </c>
      <c r="AV159" s="225"/>
      <c r="AX159">
        <f t="shared" si="135"/>
        <v>0</v>
      </c>
      <c r="AY159">
        <f t="shared" si="136"/>
        <v>0</v>
      </c>
    </row>
    <row r="160" spans="14:51" x14ac:dyDescent="0.25">
      <c r="N160" s="170">
        <v>42</v>
      </c>
      <c r="O160" s="199">
        <f t="shared" si="102"/>
        <v>263.02679918953817</v>
      </c>
      <c r="P160" s="189" t="str">
        <f t="shared" si="103"/>
        <v>87</v>
      </c>
      <c r="Q160" s="160" t="str">
        <f t="shared" si="104"/>
        <v>1+12.3948459004664i</v>
      </c>
      <c r="R160" s="160">
        <f t="shared" si="112"/>
        <v>12.435119818333424</v>
      </c>
      <c r="S160" s="160">
        <f t="shared" si="113"/>
        <v>1.4902919979481091</v>
      </c>
      <c r="T160" s="160" t="str">
        <f t="shared" si="105"/>
        <v>1+0.0082632306003109i</v>
      </c>
      <c r="U160" s="160">
        <f t="shared" si="114"/>
        <v>1.0000341399072104</v>
      </c>
      <c r="V160" s="160">
        <f t="shared" si="115"/>
        <v>8.2630425341879855E-3</v>
      </c>
      <c r="W160" s="98" t="str">
        <f t="shared" si="106"/>
        <v>1-0.00117062433504405i</v>
      </c>
      <c r="X160" s="160">
        <f t="shared" si="116"/>
        <v>1.0000006851804322</v>
      </c>
      <c r="Y160" s="160">
        <f t="shared" si="117"/>
        <v>-1.1706238003183812E-3</v>
      </c>
      <c r="Z160" s="98" t="str">
        <f t="shared" si="107"/>
        <v>0.99999950803131+0.00245913742665252i</v>
      </c>
      <c r="AA160" s="160">
        <f t="shared" si="118"/>
        <v>1.0000025317066679</v>
      </c>
      <c r="AB160" s="160">
        <f t="shared" si="119"/>
        <v>2.4591336793885225E-3</v>
      </c>
      <c r="AC160" s="171" t="str">
        <f t="shared" si="120"/>
        <v>0.594949347808643-6.97119810990539i</v>
      </c>
      <c r="AD160" s="190">
        <f t="shared" si="121"/>
        <v>16.897666058851783</v>
      </c>
      <c r="AE160" s="169">
        <f t="shared" si="122"/>
        <v>-85.121974045643</v>
      </c>
      <c r="AF160" s="98" t="str">
        <f t="shared" si="108"/>
        <v>-0.0000673063927557778</v>
      </c>
      <c r="AG160" s="98" t="str">
        <f t="shared" si="109"/>
        <v>0.000016638841136786i</v>
      </c>
      <c r="AH160" s="98">
        <f t="shared" si="123"/>
        <v>1.6638841136786002E-5</v>
      </c>
      <c r="AI160" s="98">
        <f t="shared" si="124"/>
        <v>1.5707963267948966</v>
      </c>
      <c r="AJ160" s="98" t="str">
        <f t="shared" si="110"/>
        <v>1+0.0167431370924059i</v>
      </c>
      <c r="AK160" s="98">
        <f t="shared" si="125"/>
        <v>1.0001401564979255</v>
      </c>
      <c r="AL160" s="98">
        <f t="shared" si="126"/>
        <v>1.6741572806237125E-2</v>
      </c>
      <c r="AM160" s="98" t="str">
        <f t="shared" si="111"/>
        <v>1+2.47896918009327i</v>
      </c>
      <c r="AN160" s="98">
        <f t="shared" si="127"/>
        <v>2.6730671888024622</v>
      </c>
      <c r="AO160" s="98">
        <f t="shared" si="128"/>
        <v>1.1873679649390427</v>
      </c>
      <c r="AP160" s="168" t="str">
        <f t="shared" si="129"/>
        <v>-9.95725045035124+4.21185265961212i</v>
      </c>
      <c r="AQ160" s="98">
        <f t="shared" si="130"/>
        <v>20.677645007303646</v>
      </c>
      <c r="AR160" s="169">
        <f t="shared" si="131"/>
        <v>157.07195165583624</v>
      </c>
      <c r="AS160" s="168" t="str">
        <f t="shared" si="132"/>
        <v>23.4375996384842+71.9198045122455i</v>
      </c>
      <c r="AT160" s="190">
        <f t="shared" si="133"/>
        <v>37.575311066155429</v>
      </c>
      <c r="AU160" s="169">
        <f t="shared" si="134"/>
        <v>71.949977610193287</v>
      </c>
      <c r="AV160" s="225"/>
      <c r="AX160">
        <f t="shared" si="135"/>
        <v>0</v>
      </c>
      <c r="AY160">
        <f t="shared" si="136"/>
        <v>0</v>
      </c>
    </row>
    <row r="161" spans="14:51" x14ac:dyDescent="0.25">
      <c r="N161" s="170">
        <v>43</v>
      </c>
      <c r="O161" s="199">
        <f t="shared" si="102"/>
        <v>269.15348039269179</v>
      </c>
      <c r="P161" s="189" t="str">
        <f t="shared" si="103"/>
        <v>87</v>
      </c>
      <c r="Q161" s="160" t="str">
        <f t="shared" si="104"/>
        <v>1+12.6835589503471i</v>
      </c>
      <c r="R161" s="160">
        <f t="shared" si="112"/>
        <v>12.722918990818499</v>
      </c>
      <c r="S161" s="160">
        <f t="shared" si="113"/>
        <v>1.4921168594925749</v>
      </c>
      <c r="T161" s="160" t="str">
        <f t="shared" si="105"/>
        <v>1+0.00845570596689805i</v>
      </c>
      <c r="U161" s="160">
        <f t="shared" si="114"/>
        <v>1.0000357488427094</v>
      </c>
      <c r="V161" s="160">
        <f t="shared" si="115"/>
        <v>8.4555044508057495E-3</v>
      </c>
      <c r="W161" s="98" t="str">
        <f t="shared" si="106"/>
        <v>1-0.00119789167864389i</v>
      </c>
      <c r="X161" s="160">
        <f t="shared" si="116"/>
        <v>1.0000007174719794</v>
      </c>
      <c r="Y161" s="160">
        <f t="shared" si="117"/>
        <v>-1.1978911056750351E-3</v>
      </c>
      <c r="Z161" s="98" t="str">
        <f t="shared" si="107"/>
        <v>0.999999484845539+0.00251641809574886i</v>
      </c>
      <c r="AA161" s="160">
        <f t="shared" si="118"/>
        <v>1.000002651022174</v>
      </c>
      <c r="AB161" s="160">
        <f t="shared" si="119"/>
        <v>2.5164140804837163E-3</v>
      </c>
      <c r="AC161" s="171" t="str">
        <f t="shared" si="120"/>
        <v>0.569792863139228-6.81450463025815i</v>
      </c>
      <c r="AD161" s="190">
        <f t="shared" si="121"/>
        <v>16.698943523653888</v>
      </c>
      <c r="AE161" s="169">
        <f t="shared" si="122"/>
        <v>-85.220347881544612</v>
      </c>
      <c r="AF161" s="98" t="str">
        <f t="shared" si="108"/>
        <v>-0.0000673063927557778</v>
      </c>
      <c r="AG161" s="98" t="str">
        <f t="shared" si="109"/>
        <v>0.0000170264095349459i</v>
      </c>
      <c r="AH161" s="98">
        <f t="shared" si="123"/>
        <v>1.7026409534945899E-5</v>
      </c>
      <c r="AI161" s="98">
        <f t="shared" si="124"/>
        <v>1.5707963267948966</v>
      </c>
      <c r="AJ161" s="98" t="str">
        <f t="shared" si="110"/>
        <v>1+0.0171331348554549i</v>
      </c>
      <c r="AK161" s="98">
        <f t="shared" si="125"/>
        <v>1.0001467613855355</v>
      </c>
      <c r="AL161" s="98">
        <f t="shared" si="126"/>
        <v>1.7131458705909874E-2</v>
      </c>
      <c r="AM161" s="98" t="str">
        <f t="shared" si="111"/>
        <v>1+2.53671179006941i</v>
      </c>
      <c r="AN161" s="98">
        <f t="shared" si="127"/>
        <v>2.726702533441657</v>
      </c>
      <c r="AO161" s="98">
        <f t="shared" si="128"/>
        <v>1.1952903020110566</v>
      </c>
      <c r="AP161" s="168" t="str">
        <f t="shared" si="129"/>
        <v>-9.95711893704638+4.12365515090018i</v>
      </c>
      <c r="AQ161" s="98">
        <f t="shared" si="130"/>
        <v>20.650145377523575</v>
      </c>
      <c r="AR161" s="169">
        <f t="shared" si="131"/>
        <v>157.50352931739982</v>
      </c>
      <c r="AS161" s="168" t="str">
        <f t="shared" si="132"/>
        <v>22.4271718116397+70.2024623755639i</v>
      </c>
      <c r="AT161" s="190">
        <f t="shared" si="133"/>
        <v>37.349088901177467</v>
      </c>
      <c r="AU161" s="169">
        <f t="shared" si="134"/>
        <v>72.283181435855198</v>
      </c>
      <c r="AV161" s="225"/>
      <c r="AX161">
        <f t="shared" si="135"/>
        <v>0</v>
      </c>
      <c r="AY161">
        <f t="shared" si="136"/>
        <v>0</v>
      </c>
    </row>
    <row r="162" spans="14:51" x14ac:dyDescent="0.25">
      <c r="N162" s="170">
        <v>44</v>
      </c>
      <c r="O162" s="199">
        <f t="shared" si="102"/>
        <v>275.42287033381683</v>
      </c>
      <c r="P162" s="189" t="str">
        <f t="shared" si="103"/>
        <v>87</v>
      </c>
      <c r="Q162" s="160" t="str">
        <f t="shared" si="104"/>
        <v>1+12.9789969910701i</v>
      </c>
      <c r="R162" s="160">
        <f t="shared" si="112"/>
        <v>13.017463765811168</v>
      </c>
      <c r="S162" s="160">
        <f t="shared" si="113"/>
        <v>1.4939006896646301</v>
      </c>
      <c r="T162" s="160" t="str">
        <f t="shared" si="105"/>
        <v>1+0.00865266466071335i</v>
      </c>
      <c r="U162" s="160">
        <f t="shared" si="114"/>
        <v>1.0000374336022282</v>
      </c>
      <c r="V162" s="160">
        <f t="shared" si="115"/>
        <v>8.6524487327666669E-3</v>
      </c>
      <c r="W162" s="98" t="str">
        <f t="shared" si="106"/>
        <v>1-0.00122579416026773i</v>
      </c>
      <c r="X162" s="160">
        <f t="shared" si="116"/>
        <v>1.0000007512853795</v>
      </c>
      <c r="Y162" s="160">
        <f t="shared" si="117"/>
        <v>-1.2257935463205656E-3</v>
      </c>
      <c r="Z162" s="98" t="str">
        <f t="shared" si="107"/>
        <v>0.999999460567058+0.00257503300302829i</v>
      </c>
      <c r="AA162" s="160">
        <f t="shared" si="118"/>
        <v>1.0000027759608339</v>
      </c>
      <c r="AB162" s="160">
        <f t="shared" si="119"/>
        <v>2.5750287005948088E-3</v>
      </c>
      <c r="AC162" s="171" t="str">
        <f t="shared" si="120"/>
        <v>0.545754927133169-6.66124676301779i</v>
      </c>
      <c r="AD162" s="190">
        <f t="shared" si="121"/>
        <v>16.500165054585931</v>
      </c>
      <c r="AE162" s="169">
        <f t="shared" si="122"/>
        <v>-85.316226808053102</v>
      </c>
      <c r="AF162" s="98" t="str">
        <f t="shared" si="108"/>
        <v>-0.0000673063927557778</v>
      </c>
      <c r="AG162" s="98" t="str">
        <f t="shared" si="109"/>
        <v>0.0000174230055608124i</v>
      </c>
      <c r="AH162" s="98">
        <f t="shared" si="123"/>
        <v>1.7423005560812399E-5</v>
      </c>
      <c r="AI162" s="98">
        <f t="shared" si="124"/>
        <v>1.5707963267948966</v>
      </c>
      <c r="AJ162" s="98" t="str">
        <f t="shared" si="110"/>
        <v>1+0.0175322168333882i</v>
      </c>
      <c r="AK162" s="98">
        <f t="shared" si="125"/>
        <v>1.0001536775051587</v>
      </c>
      <c r="AL162" s="98">
        <f t="shared" si="126"/>
        <v>1.7530420821696549E-2</v>
      </c>
      <c r="AM162" s="98" t="str">
        <f t="shared" si="111"/>
        <v>1+2.595799398214i</v>
      </c>
      <c r="AN162" s="98">
        <f t="shared" si="127"/>
        <v>2.7817574509234557</v>
      </c>
      <c r="AO162" s="98">
        <f t="shared" si="128"/>
        <v>1.2030804154368002</v>
      </c>
      <c r="AP162" s="168" t="str">
        <f t="shared" si="129"/>
        <v>-9.95698122943378+4.03764384635785i</v>
      </c>
      <c r="AQ162" s="98">
        <f t="shared" si="130"/>
        <v>20.623715280327485</v>
      </c>
      <c r="AR162" s="169">
        <f t="shared" si="131"/>
        <v>157.92701109320291</v>
      </c>
      <c r="AS162" s="168" t="str">
        <f t="shared" si="132"/>
        <v>21.461670436434+68.5294730071534i</v>
      </c>
      <c r="AT162" s="190">
        <f t="shared" si="133"/>
        <v>37.123880334913423</v>
      </c>
      <c r="AU162" s="169">
        <f t="shared" si="134"/>
        <v>72.610784285149805</v>
      </c>
      <c r="AV162" s="225"/>
      <c r="AX162">
        <f t="shared" si="135"/>
        <v>0</v>
      </c>
      <c r="AY162">
        <f t="shared" si="136"/>
        <v>0</v>
      </c>
    </row>
    <row r="163" spans="14:51" x14ac:dyDescent="0.25">
      <c r="N163" s="170">
        <v>45</v>
      </c>
      <c r="O163" s="199">
        <f t="shared" si="102"/>
        <v>281.83829312644554</v>
      </c>
      <c r="P163" s="189" t="str">
        <f t="shared" si="103"/>
        <v>87</v>
      </c>
      <c r="Q163" s="160" t="str">
        <f t="shared" si="104"/>
        <v>1+13.281316667795i</v>
      </c>
      <c r="R163" s="160">
        <f t="shared" si="112"/>
        <v>13.318910331939671</v>
      </c>
      <c r="S163" s="160">
        <f t="shared" si="113"/>
        <v>1.4956443888393818</v>
      </c>
      <c r="T163" s="160" t="str">
        <f t="shared" si="105"/>
        <v>1+0.0088542111118633i</v>
      </c>
      <c r="U163" s="160">
        <f t="shared" si="114"/>
        <v>1.0000391977589744</v>
      </c>
      <c r="V163" s="160">
        <f t="shared" si="115"/>
        <v>8.8539797413896872E-3</v>
      </c>
      <c r="W163" s="98" t="str">
        <f t="shared" si="106"/>
        <v>1-0.00125434657418064i</v>
      </c>
      <c r="X163" s="160">
        <f t="shared" si="116"/>
        <v>1.0000007866923546</v>
      </c>
      <c r="Y163" s="160">
        <f t="shared" si="117"/>
        <v>-1.2543459163244289E-3</v>
      </c>
      <c r="Z163" s="98" t="str">
        <f t="shared" si="107"/>
        <v>0.999999435144366+0.00263501322689052i</v>
      </c>
      <c r="AA163" s="160">
        <f t="shared" si="118"/>
        <v>1.0000029067876539</v>
      </c>
      <c r="AB163" s="160">
        <f t="shared" si="119"/>
        <v>2.6350086167507038E-3</v>
      </c>
      <c r="AC163" s="171" t="str">
        <f t="shared" si="120"/>
        <v>0.522786389841841-6.51135495970449i</v>
      </c>
      <c r="AD163" s="190">
        <f t="shared" si="121"/>
        <v>16.301333196413424</v>
      </c>
      <c r="AE163" s="169">
        <f t="shared" si="122"/>
        <v>-85.409659061619294</v>
      </c>
      <c r="AF163" s="98" t="str">
        <f t="shared" si="108"/>
        <v>-0.0000673063927557778</v>
      </c>
      <c r="AG163" s="98" t="str">
        <f t="shared" si="109"/>
        <v>0.0000178288394948479i</v>
      </c>
      <c r="AH163" s="98">
        <f t="shared" si="123"/>
        <v>1.7828839494847901E-5</v>
      </c>
      <c r="AI163" s="98">
        <f t="shared" si="124"/>
        <v>1.5707963267948966</v>
      </c>
      <c r="AJ163" s="98" t="str">
        <f t="shared" si="110"/>
        <v>1+0.0179405946247528i</v>
      </c>
      <c r="AK163" s="98">
        <f t="shared" si="125"/>
        <v>1.0001609195201988</v>
      </c>
      <c r="AL163" s="98">
        <f t="shared" si="126"/>
        <v>1.7938670180275333E-2</v>
      </c>
      <c r="AM163" s="98" t="str">
        <f t="shared" si="111"/>
        <v>1+2.65626333355899i</v>
      </c>
      <c r="AN163" s="98">
        <f t="shared" si="127"/>
        <v>2.8382626547255838</v>
      </c>
      <c r="AO163" s="98">
        <f t="shared" si="128"/>
        <v>1.2107386526146986</v>
      </c>
      <c r="AP163" s="168" t="str">
        <f t="shared" si="129"/>
        <v>-9.95683703594382+3.95377312647355i</v>
      </c>
      <c r="AQ163" s="98">
        <f t="shared" si="130"/>
        <v>20.598318844991258</v>
      </c>
      <c r="AR163" s="169">
        <f t="shared" si="131"/>
        <v>158.34240479677115</v>
      </c>
      <c r="AS163" s="168" t="str">
        <f t="shared" si="132"/>
        <v>20.5391213683453+66.8994789960049i</v>
      </c>
      <c r="AT163" s="190">
        <f t="shared" si="133"/>
        <v>36.899652041404678</v>
      </c>
      <c r="AU163" s="169">
        <f t="shared" si="134"/>
        <v>72.932745735151812</v>
      </c>
      <c r="AV163" s="225"/>
      <c r="AX163">
        <f t="shared" si="135"/>
        <v>0</v>
      </c>
      <c r="AY163">
        <f t="shared" si="136"/>
        <v>0</v>
      </c>
    </row>
    <row r="164" spans="14:51" x14ac:dyDescent="0.25">
      <c r="N164" s="170">
        <v>46</v>
      </c>
      <c r="O164" s="199">
        <f t="shared" si="102"/>
        <v>288.40315031266073</v>
      </c>
      <c r="P164" s="189" t="str">
        <f t="shared" si="103"/>
        <v>87</v>
      </c>
      <c r="Q164" s="160" t="str">
        <f t="shared" si="104"/>
        <v>1+13.5906782744162i</v>
      </c>
      <c r="R164" s="160">
        <f t="shared" si="112"/>
        <v>13.627418536123725</v>
      </c>
      <c r="S164" s="160">
        <f t="shared" si="113"/>
        <v>1.4973488391119381</v>
      </c>
      <c r="T164" s="160" t="str">
        <f t="shared" si="105"/>
        <v>1+0.0090604521829441i</v>
      </c>
      <c r="U164" s="160">
        <f t="shared" si="114"/>
        <v>1.0000410450545314</v>
      </c>
      <c r="V164" s="160">
        <f t="shared" si="115"/>
        <v>9.0602042655645171E-3</v>
      </c>
      <c r="W164" s="98" t="str">
        <f t="shared" si="106"/>
        <v>1-0.00128356405925042i</v>
      </c>
      <c r="X164" s="160">
        <f t="shared" si="116"/>
        <v>1.0000008237680078</v>
      </c>
      <c r="Y164" s="160">
        <f t="shared" si="117"/>
        <v>-1.2835633543448212E-3</v>
      </c>
      <c r="Z164" s="98" t="str">
        <f t="shared" si="107"/>
        <v>0.999999408523541+0.00269639056964416i</v>
      </c>
      <c r="AA164" s="160">
        <f t="shared" si="118"/>
        <v>1.0000030437801357</v>
      </c>
      <c r="AB164" s="160">
        <f t="shared" si="119"/>
        <v>2.696385629791148E-3</v>
      </c>
      <c r="AC164" s="171" t="str">
        <f t="shared" si="120"/>
        <v>0.500840209779219-6.36476068983284i</v>
      </c>
      <c r="AD164" s="190">
        <f t="shared" si="121"/>
        <v>16.10245038469505</v>
      </c>
      <c r="AE164" s="169">
        <f t="shared" si="122"/>
        <v>-85.500691753452472</v>
      </c>
      <c r="AF164" s="98" t="str">
        <f t="shared" si="108"/>
        <v>-0.0000673063927557778</v>
      </c>
      <c r="AG164" s="98" t="str">
        <f t="shared" si="109"/>
        <v>0.0000182441265155762i</v>
      </c>
      <c r="AH164" s="98">
        <f t="shared" si="123"/>
        <v>1.82441265155762E-5</v>
      </c>
      <c r="AI164" s="98">
        <f t="shared" si="124"/>
        <v>1.5707963267948966</v>
      </c>
      <c r="AJ164" s="98" t="str">
        <f t="shared" si="110"/>
        <v>1+0.0183584847568593i</v>
      </c>
      <c r="AK164" s="98">
        <f t="shared" si="125"/>
        <v>1.0001685027846898</v>
      </c>
      <c r="AL164" s="98">
        <f t="shared" si="126"/>
        <v>1.8356422696212474E-2</v>
      </c>
      <c r="AM164" s="98" t="str">
        <f t="shared" si="111"/>
        <v>1+2.71813565488323i</v>
      </c>
      <c r="AN164" s="98">
        <f t="shared" si="127"/>
        <v>2.8962495469740666</v>
      </c>
      <c r="AO164" s="98">
        <f t="shared" si="128"/>
        <v>1.2182654798745918</v>
      </c>
      <c r="AP164" s="168" t="str">
        <f t="shared" si="129"/>
        <v>-9.95668605130022+3.87199850561753i</v>
      </c>
      <c r="AQ164" s="98">
        <f t="shared" si="130"/>
        <v>20.573920908106729</v>
      </c>
      <c r="AR164" s="169">
        <f t="shared" si="131"/>
        <v>158.74972477584296</v>
      </c>
      <c r="AS164" s="168" t="str">
        <f t="shared" si="132"/>
        <v>19.6576351490069+65.3111765241409i</v>
      </c>
      <c r="AT164" s="190">
        <f t="shared" si="133"/>
        <v>36.676371292801775</v>
      </c>
      <c r="AU164" s="169">
        <f t="shared" si="134"/>
        <v>73.24903302239052</v>
      </c>
      <c r="AV164" s="225"/>
      <c r="AX164">
        <f t="shared" si="135"/>
        <v>0</v>
      </c>
      <c r="AY164">
        <f t="shared" si="136"/>
        <v>0</v>
      </c>
    </row>
    <row r="165" spans="14:51" x14ac:dyDescent="0.25">
      <c r="N165" s="170">
        <v>47</v>
      </c>
      <c r="O165" s="199">
        <f t="shared" si="102"/>
        <v>295.12092266663871</v>
      </c>
      <c r="P165" s="189" t="str">
        <f t="shared" si="103"/>
        <v>87</v>
      </c>
      <c r="Q165" s="160" t="str">
        <f t="shared" si="104"/>
        <v>1+13.9072458385524i</v>
      </c>
      <c r="R165" s="160">
        <f t="shared" si="112"/>
        <v>13.943151968401301</v>
      </c>
      <c r="S165" s="160">
        <f t="shared" si="113"/>
        <v>1.4990149045687324</v>
      </c>
      <c r="T165" s="160" t="str">
        <f t="shared" si="105"/>
        <v>1+0.00927149722570155i</v>
      </c>
      <c r="U165" s="160">
        <f t="shared" si="114"/>
        <v>1.0000429794067884</v>
      </c>
      <c r="V165" s="160">
        <f t="shared" si="115"/>
        <v>9.2712315780598357E-3</v>
      </c>
      <c r="W165" s="98" t="str">
        <f t="shared" si="106"/>
        <v>1-0.00131346210697439i</v>
      </c>
      <c r="X165" s="160">
        <f t="shared" si="116"/>
        <v>1.0000008625909813</v>
      </c>
      <c r="Y165" s="160">
        <f t="shared" si="117"/>
        <v>-1.3134613516544676E-3</v>
      </c>
      <c r="Z165" s="98" t="str">
        <f t="shared" si="107"/>
        <v>0.999999380648114+0.00275919757436878i</v>
      </c>
      <c r="AA165" s="160">
        <f t="shared" si="118"/>
        <v>1.0000031872288537</v>
      </c>
      <c r="AB165" s="160">
        <f t="shared" si="119"/>
        <v>2.7591922812218151E-3</v>
      </c>
      <c r="AC165" s="171" t="str">
        <f t="shared" si="120"/>
        <v>0.47987136797452-6.22139645415109i</v>
      </c>
      <c r="AD165" s="190">
        <f t="shared" si="121"/>
        <v>15.903518950597986</v>
      </c>
      <c r="AE165" s="169">
        <f t="shared" si="122"/>
        <v>-85.589370883265417</v>
      </c>
      <c r="AF165" s="98" t="str">
        <f t="shared" si="108"/>
        <v>-0.0000673063927557778</v>
      </c>
      <c r="AG165" s="98" t="str">
        <f t="shared" si="109"/>
        <v>0.0000186690868136726i</v>
      </c>
      <c r="AH165" s="98">
        <f t="shared" si="123"/>
        <v>1.8669086813672601E-5</v>
      </c>
      <c r="AI165" s="98">
        <f t="shared" si="124"/>
        <v>1.5707963267948966</v>
      </c>
      <c r="AJ165" s="98" t="str">
        <f t="shared" si="110"/>
        <v>1+0.0187861088005872i</v>
      </c>
      <c r="AK165" s="98">
        <f t="shared" si="125"/>
        <v>1.0001764433758014</v>
      </c>
      <c r="AL165" s="98">
        <f t="shared" si="126"/>
        <v>1.8783899283847112E-2</v>
      </c>
      <c r="AM165" s="98" t="str">
        <f t="shared" si="111"/>
        <v>1+2.78144916771046i</v>
      </c>
      <c r="AN165" s="98">
        <f t="shared" si="127"/>
        <v>2.9557502385278109</v>
      </c>
      <c r="AO165" s="98">
        <f t="shared" si="128"/>
        <v>1.2256614757005067</v>
      </c>
      <c r="AP165" s="168" t="str">
        <f t="shared" si="129"/>
        <v>-9.95652795587722+3.79227660837762i</v>
      </c>
      <c r="AQ165" s="98">
        <f t="shared" si="130"/>
        <v>20.550487037665867</v>
      </c>
      <c r="AR165" s="169">
        <f t="shared" si="131"/>
        <v>159.14899151765206</v>
      </c>
      <c r="AS165" s="168" t="str">
        <f t="shared" si="132"/>
        <v>18.8154035540573+63.7633126841507i</v>
      </c>
      <c r="AT165" s="190">
        <f t="shared" si="133"/>
        <v>36.454005988263852</v>
      </c>
      <c r="AU165" s="169">
        <f t="shared" si="134"/>
        <v>73.559620634386675</v>
      </c>
      <c r="AV165" s="225"/>
      <c r="AX165">
        <f t="shared" si="135"/>
        <v>0</v>
      </c>
      <c r="AY165">
        <f t="shared" si="136"/>
        <v>0</v>
      </c>
    </row>
    <row r="166" spans="14:51" x14ac:dyDescent="0.25">
      <c r="N166" s="170">
        <v>48</v>
      </c>
      <c r="O166" s="199">
        <f t="shared" si="102"/>
        <v>301.99517204020168</v>
      </c>
      <c r="P166" s="189" t="str">
        <f t="shared" si="103"/>
        <v>87</v>
      </c>
      <c r="Q166" s="160" t="str">
        <f t="shared" si="104"/>
        <v>1+14.2311872085163i</v>
      </c>
      <c r="R166" s="160">
        <f t="shared" si="112"/>
        <v>14.266278048735694</v>
      </c>
      <c r="S166" s="160">
        <f t="shared" si="113"/>
        <v>1.500643431562011</v>
      </c>
      <c r="T166" s="160" t="str">
        <f t="shared" si="105"/>
        <v>1+0.00948745813901085i</v>
      </c>
      <c r="U166" s="160">
        <f t="shared" si="114"/>
        <v>1.0000450049182485</v>
      </c>
      <c r="V166" s="160">
        <f t="shared" si="115"/>
        <v>9.4871734931262081E-3</v>
      </c>
      <c r="W166" s="98" t="str">
        <f t="shared" si="106"/>
        <v>1-0.00134405656969321i</v>
      </c>
      <c r="X166" s="160">
        <f t="shared" si="116"/>
        <v>1.0000009032436232</v>
      </c>
      <c r="Y166" s="160">
        <f t="shared" si="117"/>
        <v>-1.3440557603533712E-3</v>
      </c>
      <c r="Z166" s="98" t="str">
        <f t="shared" si="107"/>
        <v>0.999999351458959+0.00282346754216963i</v>
      </c>
      <c r="AA166" s="160">
        <f t="shared" si="118"/>
        <v>1.0000033374380808</v>
      </c>
      <c r="AB166" s="160">
        <f t="shared" si="119"/>
        <v>2.8234618704614826E-3</v>
      </c>
      <c r="AC166" s="171" t="str">
        <f t="shared" si="120"/>
        <v>0.459836785127278-6.0811957952885i</v>
      </c>
      <c r="AD166" s="190">
        <f t="shared" si="121"/>
        <v>15.704541125520814</v>
      </c>
      <c r="AE166" s="169">
        <f t="shared" si="122"/>
        <v>-85.675741353159751</v>
      </c>
      <c r="AF166" s="98" t="str">
        <f t="shared" si="108"/>
        <v>-0.0000673063927557778</v>
      </c>
      <c r="AG166" s="98" t="str">
        <f t="shared" si="109"/>
        <v>0.0000191039457087122i</v>
      </c>
      <c r="AH166" s="98">
        <f t="shared" si="123"/>
        <v>1.9103945708712201E-5</v>
      </c>
      <c r="AI166" s="98">
        <f t="shared" si="124"/>
        <v>1.5707963267948966</v>
      </c>
      <c r="AJ166" s="98" t="str">
        <f t="shared" si="110"/>
        <v>1+0.0192236934878646i</v>
      </c>
      <c r="AK166" s="98">
        <f t="shared" si="125"/>
        <v>1.0001847581278749</v>
      </c>
      <c r="AL166" s="98">
        <f t="shared" si="126"/>
        <v>1.9221325971642039E-2</v>
      </c>
      <c r="AM166" s="98" t="str">
        <f t="shared" si="111"/>
        <v>1+2.84623744170325i</v>
      </c>
      <c r="AN166" s="98">
        <f t="shared" si="127"/>
        <v>3.0167975693694564</v>
      </c>
      <c r="AO166" s="98">
        <f t="shared" si="128"/>
        <v>1.2329273240412928</v>
      </c>
      <c r="AP166" s="168" t="str">
        <f t="shared" si="129"/>
        <v>-9.95636241502752+3.71456514647804i</v>
      </c>
      <c r="AQ166" s="98">
        <f t="shared" si="130"/>
        <v>20.527983553336231</v>
      </c>
      <c r="AR166" s="169">
        <f t="shared" si="131"/>
        <v>159.54023125910422</v>
      </c>
      <c r="AS166" s="168" t="str">
        <f t="shared" si="132"/>
        <v>18.0106962655992+62.2546829497361i</v>
      </c>
      <c r="AT166" s="190">
        <f t="shared" si="133"/>
        <v>36.232524678857054</v>
      </c>
      <c r="AU166" s="169">
        <f t="shared" si="134"/>
        <v>73.864489905944424</v>
      </c>
      <c r="AV166" s="225"/>
      <c r="AX166">
        <f t="shared" si="135"/>
        <v>0</v>
      </c>
      <c r="AY166">
        <f t="shared" si="136"/>
        <v>0</v>
      </c>
    </row>
    <row r="167" spans="14:51" x14ac:dyDescent="0.25">
      <c r="N167" s="170">
        <v>49</v>
      </c>
      <c r="O167" s="199">
        <f t="shared" si="102"/>
        <v>309.02954325135937</v>
      </c>
      <c r="P167" s="189" t="str">
        <f t="shared" si="103"/>
        <v>87</v>
      </c>
      <c r="Q167" s="160" t="str">
        <f t="shared" si="104"/>
        <v>1+14.5626741423102i</v>
      </c>
      <c r="R167" s="160">
        <f t="shared" si="112"/>
        <v>14.596968115848926</v>
      </c>
      <c r="S167" s="160">
        <f t="shared" si="113"/>
        <v>1.5022352489868167</v>
      </c>
      <c r="T167" s="160" t="str">
        <f t="shared" si="105"/>
        <v>1+0.0097084494282068i</v>
      </c>
      <c r="U167" s="160">
        <f t="shared" si="114"/>
        <v>1.0000471258847254</v>
      </c>
      <c r="V167" s="160">
        <f t="shared" si="115"/>
        <v>9.7081444254225081E-3</v>
      </c>
      <c r="W167" s="98" t="str">
        <f t="shared" si="106"/>
        <v>1-0.00137536366899597i</v>
      </c>
      <c r="X167" s="160">
        <f t="shared" si="116"/>
        <v>1.0000009458121637</v>
      </c>
      <c r="Y167" s="160">
        <f t="shared" si="117"/>
        <v>-1.3753628017727523E-3</v>
      </c>
      <c r="Z167" s="98" t="str">
        <f t="shared" si="107"/>
        <v>0.999999320894161+0.00288923454983434i</v>
      </c>
      <c r="AA167" s="160">
        <f t="shared" si="118"/>
        <v>1.0000034947264269</v>
      </c>
      <c r="AB167" s="160">
        <f t="shared" si="119"/>
        <v>2.889228472490703E-3</v>
      </c>
      <c r="AC167" s="171" t="str">
        <f t="shared" si="120"/>
        <v>0.440695241790046-5.94409330600949i</v>
      </c>
      <c r="AD167" s="190">
        <f t="shared" si="121"/>
        <v>15.505519045533644</v>
      </c>
      <c r="AE167" s="169">
        <f t="shared" si="122"/>
        <v>-85.759846981612426</v>
      </c>
      <c r="AF167" s="98" t="str">
        <f t="shared" si="108"/>
        <v>-0.0000673063927557778</v>
      </c>
      <c r="AG167" s="98" t="str">
        <f t="shared" si="109"/>
        <v>0.0000195489337686372i</v>
      </c>
      <c r="AH167" s="98">
        <f t="shared" si="123"/>
        <v>1.9548933768637201E-5</v>
      </c>
      <c r="AI167" s="98">
        <f t="shared" si="124"/>
        <v>1.5707963267948966</v>
      </c>
      <c r="AJ167" s="98" t="str">
        <f t="shared" si="110"/>
        <v>1+0.019671470831885i</v>
      </c>
      <c r="AK167" s="98">
        <f t="shared" si="125"/>
        <v>1.0001934646680559</v>
      </c>
      <c r="AL167" s="98">
        <f t="shared" si="126"/>
        <v>1.9668934019048141E-2</v>
      </c>
      <c r="AM167" s="98" t="str">
        <f t="shared" si="111"/>
        <v>1+2.91253482846204i</v>
      </c>
      <c r="AN167" s="98">
        <f t="shared" si="127"/>
        <v>3.0794251293065082</v>
      </c>
      <c r="AO167" s="98">
        <f t="shared" si="128"/>
        <v>1.2400638077320743</v>
      </c>
      <c r="AP167" s="168" t="str">
        <f t="shared" si="129"/>
        <v>-9.9561890783778+3.63882289626877i</v>
      </c>
      <c r="AQ167" s="98">
        <f t="shared" si="130"/>
        <v>20.506377543125577</v>
      </c>
      <c r="AR167" s="169">
        <f t="shared" si="131"/>
        <v>159.92347560315753</v>
      </c>
      <c r="AS167" s="168" t="str">
        <f t="shared" si="132"/>
        <v>17.2418576662621+60.7841287902526i</v>
      </c>
      <c r="AT167" s="190">
        <f t="shared" si="133"/>
        <v>36.011896588659219</v>
      </c>
      <c r="AU167" s="169">
        <f t="shared" si="134"/>
        <v>74.163628621545129</v>
      </c>
      <c r="AV167" s="225"/>
      <c r="AX167">
        <f t="shared" si="135"/>
        <v>0</v>
      </c>
      <c r="AY167">
        <f t="shared" si="136"/>
        <v>0</v>
      </c>
    </row>
    <row r="168" spans="14:51" x14ac:dyDescent="0.25">
      <c r="N168" s="170">
        <v>50</v>
      </c>
      <c r="O168" s="199">
        <f t="shared" si="102"/>
        <v>316.22776601683825</v>
      </c>
      <c r="P168" s="189" t="str">
        <f t="shared" si="103"/>
        <v>87</v>
      </c>
      <c r="Q168" s="160" t="str">
        <f t="shared" si="104"/>
        <v>1+14.9018823986942i</v>
      </c>
      <c r="R168" s="160">
        <f t="shared" si="112"/>
        <v>14.935397518128269</v>
      </c>
      <c r="S168" s="160">
        <f t="shared" si="113"/>
        <v>1.5037911685598606</v>
      </c>
      <c r="T168" s="160" t="str">
        <f t="shared" si="105"/>
        <v>1+0.0099345882657961i</v>
      </c>
      <c r="U168" s="160">
        <f t="shared" si="114"/>
        <v>1.0000493468044518</v>
      </c>
      <c r="V168" s="160">
        <f t="shared" si="115"/>
        <v>9.9342614502955489E-3</v>
      </c>
      <c r="W168" s="98" t="str">
        <f t="shared" si="106"/>
        <v>1-0.00140740000432112i</v>
      </c>
      <c r="X168" s="160">
        <f t="shared" si="116"/>
        <v>1.0000009903868956</v>
      </c>
      <c r="Y168" s="160">
        <f t="shared" si="117"/>
        <v>-1.40739907507475E-3</v>
      </c>
      <c r="Z168" s="98" t="str">
        <f t="shared" si="107"/>
        <v>0.999999288888889+0.00295653346790092i</v>
      </c>
      <c r="AA168" s="160">
        <f t="shared" si="118"/>
        <v>1.0000036594275197</v>
      </c>
      <c r="AB168" s="160">
        <f t="shared" si="119"/>
        <v>2.9565269559111615E-3</v>
      </c>
      <c r="AC168" s="171" t="str">
        <f t="shared" si="120"/>
        <v>0.422407301501618-5.81002463525819i</v>
      </c>
      <c r="AD168" s="190">
        <f t="shared" si="121"/>
        <v>15.306454755640823</v>
      </c>
      <c r="AE168" s="169">
        <f t="shared" si="122"/>
        <v>-85.841730517527523</v>
      </c>
      <c r="AF168" s="98" t="str">
        <f t="shared" si="108"/>
        <v>-0.0000673063927557778</v>
      </c>
      <c r="AG168" s="98" t="str">
        <f t="shared" si="109"/>
        <v>0.000020004286932007i</v>
      </c>
      <c r="AH168" s="98">
        <f t="shared" si="123"/>
        <v>2.0004286932007E-5</v>
      </c>
      <c r="AI168" s="98">
        <f t="shared" si="124"/>
        <v>1.5707963267948966</v>
      </c>
      <c r="AJ168" s="98" t="str">
        <f t="shared" si="110"/>
        <v>1+0.0201296782501232i</v>
      </c>
      <c r="AK168" s="98">
        <f t="shared" si="125"/>
        <v>1.000202581453604</v>
      </c>
      <c r="AL168" s="98">
        <f t="shared" si="126"/>
        <v>2.0126960035928679E-2</v>
      </c>
      <c r="AM168" s="98" t="str">
        <f t="shared" si="111"/>
        <v>1+2.98037647973883i</v>
      </c>
      <c r="AN168" s="98">
        <f t="shared" si="127"/>
        <v>3.1436672789880964</v>
      </c>
      <c r="AO168" s="98">
        <f t="shared" si="128"/>
        <v>1.2470718020467888</v>
      </c>
      <c r="AP168" s="168" t="str">
        <f t="shared" si="129"/>
        <v>-9.95600757909212+3.56500967677303i</v>
      </c>
      <c r="AQ168" s="98">
        <f t="shared" si="130"/>
        <v>20.485636876640623</v>
      </c>
      <c r="AR168" s="169">
        <f t="shared" si="131"/>
        <v>160.29876114256786</v>
      </c>
      <c r="AS168" s="168" t="str">
        <f t="shared" si="132"/>
        <v>16.5073037517712+59.3505354207353i</v>
      </c>
      <c r="AT168" s="190">
        <f t="shared" si="133"/>
        <v>35.792091632281441</v>
      </c>
      <c r="AU168" s="169">
        <f t="shared" si="134"/>
        <v>74.457030625040318</v>
      </c>
      <c r="AV168" s="225"/>
      <c r="AX168">
        <f t="shared" si="135"/>
        <v>0</v>
      </c>
      <c r="AY168">
        <f t="shared" si="136"/>
        <v>0</v>
      </c>
    </row>
    <row r="169" spans="14:51" x14ac:dyDescent="0.25">
      <c r="N169" s="170">
        <v>51</v>
      </c>
      <c r="O169" s="199">
        <f t="shared" si="102"/>
        <v>323.59365692962825</v>
      </c>
      <c r="P169" s="189" t="str">
        <f t="shared" si="103"/>
        <v>87</v>
      </c>
      <c r="Q169" s="160" t="str">
        <f t="shared" si="104"/>
        <v>1+15.2489918303757i</v>
      </c>
      <c r="R169" s="160">
        <f t="shared" si="112"/>
        <v>15.281745706654879</v>
      </c>
      <c r="S169" s="160">
        <f t="shared" si="113"/>
        <v>1.5053119850997203</v>
      </c>
      <c r="T169" s="160" t="str">
        <f t="shared" si="105"/>
        <v>1+0.0101659945535838i</v>
      </c>
      <c r="U169" s="160">
        <f t="shared" si="114"/>
        <v>1.0000516723876138</v>
      </c>
      <c r="V169" s="160">
        <f t="shared" si="115"/>
        <v>1.0165644365442948E-2</v>
      </c>
      <c r="W169" s="98" t="str">
        <f t="shared" si="106"/>
        <v>1-0.0014401825617577i</v>
      </c>
      <c r="X169" s="160">
        <f t="shared" si="116"/>
        <v>1.0000010370623678</v>
      </c>
      <c r="Y169" s="160">
        <f t="shared" si="117"/>
        <v>-1.4401815660523311E-3</v>
      </c>
      <c r="Z169" s="98" t="str">
        <f t="shared" si="107"/>
        <v>0.999999255375255+0.00302539997914652i</v>
      </c>
      <c r="AA169" s="160">
        <f t="shared" si="118"/>
        <v>1.0000038318907076</v>
      </c>
      <c r="AB169" s="160">
        <f t="shared" si="119"/>
        <v>3.0253930014252062E-3</v>
      </c>
      <c r="AC169" s="171" t="str">
        <f t="shared" si="120"/>
        <v>0.404935236792397-5.67892649216742i</v>
      </c>
      <c r="AD169" s="190">
        <f t="shared" si="121"/>
        <v>15.107350213874341</v>
      </c>
      <c r="AE169" s="169">
        <f t="shared" si="122"/>
        <v>-85.921433654320424</v>
      </c>
      <c r="AF169" s="98" t="str">
        <f t="shared" si="108"/>
        <v>-0.0000673063927557778</v>
      </c>
      <c r="AG169" s="98" t="str">
        <f t="shared" si="109"/>
        <v>0.0000204702466330963i</v>
      </c>
      <c r="AH169" s="98">
        <f t="shared" si="123"/>
        <v>2.0470246633096299E-5</v>
      </c>
      <c r="AI169" s="98">
        <f t="shared" si="124"/>
        <v>1.5707963267948966</v>
      </c>
      <c r="AJ169" s="98" t="str">
        <f t="shared" si="110"/>
        <v>1+0.0205985586902174i</v>
      </c>
      <c r="AK169" s="98">
        <f t="shared" si="125"/>
        <v>1.000212127810953</v>
      </c>
      <c r="AL169" s="98">
        <f t="shared" si="126"/>
        <v>2.0595646104593343E-2</v>
      </c>
      <c r="AM169" s="98" t="str">
        <f t="shared" si="111"/>
        <v>1+3.04979836607512i</v>
      </c>
      <c r="AN169" s="98">
        <f t="shared" si="127"/>
        <v>3.2095591712436882</v>
      </c>
      <c r="AO169" s="98">
        <f t="shared" si="128"/>
        <v>1.2539522683994622</v>
      </c>
      <c r="AP169" s="168" t="str">
        <f t="shared" si="129"/>
        <v>-9.95581753310103+3.49308632828078i</v>
      </c>
      <c r="AQ169" s="98">
        <f t="shared" si="130"/>
        <v>20.465730215145307</v>
      </c>
      <c r="AR169" s="169">
        <f t="shared" si="131"/>
        <v>160.6661290920068</v>
      </c>
      <c r="AS169" s="168" t="str">
        <f t="shared" si="132"/>
        <v>15.8055191588734+57.952829679391i</v>
      </c>
      <c r="AT169" s="190">
        <f t="shared" si="133"/>
        <v>35.573080429019647</v>
      </c>
      <c r="AU169" s="169">
        <f t="shared" si="134"/>
        <v>74.744695437686346</v>
      </c>
      <c r="AV169" s="225"/>
      <c r="AX169">
        <f t="shared" si="135"/>
        <v>0</v>
      </c>
      <c r="AY169">
        <f t="shared" si="136"/>
        <v>0</v>
      </c>
    </row>
    <row r="170" spans="14:51" x14ac:dyDescent="0.25">
      <c r="N170" s="170">
        <v>52</v>
      </c>
      <c r="O170" s="199">
        <f t="shared" si="102"/>
        <v>331.13112148259137</v>
      </c>
      <c r="P170" s="189" t="str">
        <f t="shared" si="103"/>
        <v>87</v>
      </c>
      <c r="Q170" s="160" t="str">
        <f t="shared" si="104"/>
        <v>1+15.6041864793699i</v>
      </c>
      <c r="R170" s="160">
        <f t="shared" si="112"/>
        <v>15.636196330404347</v>
      </c>
      <c r="S170" s="160">
        <f t="shared" si="113"/>
        <v>1.50679847680785</v>
      </c>
      <c r="T170" s="160" t="str">
        <f t="shared" si="105"/>
        <v>1+0.0104027909862466i</v>
      </c>
      <c r="U170" s="160">
        <f t="shared" si="114"/>
        <v>1.0000541075663374</v>
      </c>
      <c r="V170" s="160">
        <f t="shared" si="115"/>
        <v>1.0402415753989685E-2</v>
      </c>
      <c r="W170" s="98" t="str">
        <f t="shared" si="106"/>
        <v>1-0.0014737287230516i</v>
      </c>
      <c r="X170" s="160">
        <f t="shared" si="116"/>
        <v>1.000001085937585</v>
      </c>
      <c r="Y170" s="160">
        <f t="shared" si="117"/>
        <v>-1.4737276561341375E-3</v>
      </c>
      <c r="Z170" s="98" t="str">
        <f t="shared" si="107"/>
        <v>0.999999220282172+0.00309587059750699i</v>
      </c>
      <c r="AA170" s="160">
        <f t="shared" si="118"/>
        <v>1.0000040124818044</v>
      </c>
      <c r="AB170" s="160">
        <f t="shared" si="119"/>
        <v>3.095863120745499E-3</v>
      </c>
      <c r="AC170" s="171" t="str">
        <f t="shared" si="120"/>
        <v>0.388242957982431-5.55073664819353i</v>
      </c>
      <c r="AD170" s="190">
        <f t="shared" si="121"/>
        <v>14.908207295223058</v>
      </c>
      <c r="AE170" s="169">
        <f t="shared" si="122"/>
        <v>-85.998997044003957</v>
      </c>
      <c r="AF170" s="98" t="str">
        <f t="shared" si="108"/>
        <v>-0.0000673063927557778</v>
      </c>
      <c r="AG170" s="98" t="str">
        <f t="shared" si="109"/>
        <v>0.0000209470599299061i</v>
      </c>
      <c r="AH170" s="98">
        <f t="shared" si="123"/>
        <v>2.0947059929906101E-5</v>
      </c>
      <c r="AI170" s="98">
        <f t="shared" si="124"/>
        <v>1.5707963267948966</v>
      </c>
      <c r="AJ170" s="98" t="str">
        <f t="shared" si="110"/>
        <v>1+0.0210783607587833i</v>
      </c>
      <c r="AK170" s="98">
        <f t="shared" si="125"/>
        <v>1.0002221239766083</v>
      </c>
      <c r="AL170" s="98">
        <f t="shared" si="126"/>
        <v>2.1075239904489743E-2</v>
      </c>
      <c r="AM170" s="98" t="str">
        <f t="shared" si="111"/>
        <v>1+3.12083729587398i</v>
      </c>
      <c r="AN170" s="98">
        <f t="shared" si="127"/>
        <v>3.2771367727511795</v>
      </c>
      <c r="AO170" s="98">
        <f t="shared" si="128"/>
        <v>1.2607062482094047</v>
      </c>
      <c r="AP170" s="168" t="str">
        <f t="shared" si="129"/>
        <v>-9.9556185382946+3.42301469147659i</v>
      </c>
      <c r="AQ170" s="98">
        <f t="shared" si="130"/>
        <v>20.446627018624479</v>
      </c>
      <c r="AR170" s="169">
        <f t="shared" si="131"/>
        <v>161.02562492941834</v>
      </c>
      <c r="AS170" s="168" t="str">
        <f t="shared" si="132"/>
        <v>15.1350543054318+56.5899780249829i</v>
      </c>
      <c r="AT170" s="190">
        <f t="shared" si="133"/>
        <v>35.354834313847533</v>
      </c>
      <c r="AU170" s="169">
        <f t="shared" si="134"/>
        <v>75.026627885414356</v>
      </c>
      <c r="AV170" s="225"/>
      <c r="AX170">
        <f t="shared" si="135"/>
        <v>0</v>
      </c>
      <c r="AY170">
        <f t="shared" si="136"/>
        <v>0</v>
      </c>
    </row>
    <row r="171" spans="14:51" x14ac:dyDescent="0.25">
      <c r="N171" s="170">
        <v>53</v>
      </c>
      <c r="O171" s="199">
        <f t="shared" si="102"/>
        <v>338.84415613920277</v>
      </c>
      <c r="P171" s="189" t="str">
        <f t="shared" si="103"/>
        <v>87</v>
      </c>
      <c r="Q171" s="160" t="str">
        <f t="shared" si="104"/>
        <v>1+15.9676546745813i</v>
      </c>
      <c r="R171" s="160">
        <f t="shared" si="112"/>
        <v>15.998937333669323</v>
      </c>
      <c r="S171" s="160">
        <f t="shared" si="113"/>
        <v>1.5082514055499221</v>
      </c>
      <c r="T171" s="160" t="str">
        <f t="shared" si="105"/>
        <v>1+0.0106451031163875i</v>
      </c>
      <c r="U171" s="160">
        <f t="shared" si="114"/>
        <v>1.0000566575051428</v>
      </c>
      <c r="V171" s="160">
        <f t="shared" si="115"/>
        <v>1.0644701049010521E-2</v>
      </c>
      <c r="W171" s="98" t="str">
        <f t="shared" si="106"/>
        <v>1-0.00150805627482157i</v>
      </c>
      <c r="X171" s="160">
        <f t="shared" si="116"/>
        <v>1.0000011371162174</v>
      </c>
      <c r="Y171" s="160">
        <f t="shared" si="117"/>
        <v>-1.508055131598982E-3</v>
      </c>
      <c r="Z171" s="98" t="str">
        <f t="shared" si="107"/>
        <v>0.999999183535202+0.00316798268743692i</v>
      </c>
      <c r="AA171" s="160">
        <f t="shared" si="118"/>
        <v>1.0000042015838626</v>
      </c>
      <c r="AB171" s="160">
        <f t="shared" si="119"/>
        <v>3.1679746759444437E-3</v>
      </c>
      <c r="AC171" s="171" t="str">
        <f t="shared" si="120"/>
        <v>0.372295944692202-5.42539393753029i</v>
      </c>
      <c r="AD171" s="190">
        <f t="shared" si="121"/>
        <v>14.709027795406069</v>
      </c>
      <c r="AE171" s="169">
        <f t="shared" si="122"/>
        <v>-86.074460311247677</v>
      </c>
      <c r="AF171" s="98" t="str">
        <f t="shared" si="108"/>
        <v>-0.0000673063927557778</v>
      </c>
      <c r="AG171" s="98" t="str">
        <f t="shared" si="109"/>
        <v>0.0000214349796351579i</v>
      </c>
      <c r="AH171" s="98">
        <f t="shared" si="123"/>
        <v>2.1434979635157901E-5</v>
      </c>
      <c r="AI171" s="98">
        <f t="shared" si="124"/>
        <v>1.5707963267948966</v>
      </c>
      <c r="AJ171" s="98" t="str">
        <f t="shared" si="110"/>
        <v>1+0.0215693388532285i</v>
      </c>
      <c r="AK171" s="98">
        <f t="shared" si="125"/>
        <v>1.0002325911399634</v>
      </c>
      <c r="AL171" s="98">
        <f t="shared" si="126"/>
        <v>2.1565994839600911E-2</v>
      </c>
      <c r="AM171" s="98" t="str">
        <f t="shared" si="111"/>
        <v>1+3.19353093491625i</v>
      </c>
      <c r="AN171" s="98">
        <f t="shared" si="127"/>
        <v>3.3464368860426843</v>
      </c>
      <c r="AO171" s="98">
        <f t="shared" si="128"/>
        <v>1.2673348569431666</v>
      </c>
      <c r="AP171" s="168" t="str">
        <f t="shared" si="129"/>
        <v>-9.95541017367773+3.35475758708995i</v>
      </c>
      <c r="AQ171" s="98">
        <f t="shared" si="130"/>
        <v>20.428297550057746</v>
      </c>
      <c r="AR171" s="169">
        <f t="shared" si="131"/>
        <v>161.37729804734937</v>
      </c>
      <c r="AS171" s="168" t="str">
        <f t="shared" si="132"/>
        <v>14.4945226394739+55.2609846469975i</v>
      </c>
      <c r="AT171" s="190">
        <f t="shared" si="133"/>
        <v>35.137325345463815</v>
      </c>
      <c r="AU171" s="169">
        <f t="shared" si="134"/>
        <v>75.302837736101651</v>
      </c>
      <c r="AV171" s="225"/>
      <c r="AX171">
        <f t="shared" si="135"/>
        <v>0</v>
      </c>
      <c r="AY171">
        <f t="shared" si="136"/>
        <v>0</v>
      </c>
    </row>
    <row r="172" spans="14:51" x14ac:dyDescent="0.25">
      <c r="N172" s="170">
        <v>54</v>
      </c>
      <c r="O172" s="199">
        <f t="shared" si="102"/>
        <v>346.73685045253183</v>
      </c>
      <c r="P172" s="189" t="str">
        <f t="shared" si="103"/>
        <v>87</v>
      </c>
      <c r="Q172" s="160" t="str">
        <f t="shared" si="104"/>
        <v>1+16.3395891316581i</v>
      </c>
      <c r="R172" s="160">
        <f t="shared" si="112"/>
        <v>16.370161055756281</v>
      </c>
      <c r="S172" s="160">
        <f t="shared" si="113"/>
        <v>1.5096715171370672</v>
      </c>
      <c r="T172" s="160" t="str">
        <f t="shared" si="105"/>
        <v>1+0.0108930594211053i</v>
      </c>
      <c r="U172" s="160">
        <f t="shared" si="114"/>
        <v>1.0000593276118932</v>
      </c>
      <c r="V172" s="160">
        <f t="shared" si="115"/>
        <v>1.0892628599529218E-2</v>
      </c>
      <c r="W172" s="98" t="str">
        <f t="shared" si="106"/>
        <v>1-0.00154318341798993i</v>
      </c>
      <c r="X172" s="160">
        <f t="shared" si="116"/>
        <v>1.0000011907068218</v>
      </c>
      <c r="Y172" s="160">
        <f t="shared" si="117"/>
        <v>-1.5431821930049355E-3</v>
      </c>
      <c r="Z172" s="98" t="str">
        <f t="shared" si="107"/>
        <v>0.999999145056402+0.00324177448372095i</v>
      </c>
      <c r="AA172" s="160">
        <f t="shared" si="118"/>
        <v>1.0000043995979908</v>
      </c>
      <c r="AB172" s="160">
        <f t="shared" si="119"/>
        <v>3.2417658992541145E-3</v>
      </c>
      <c r="AC172" s="171" t="str">
        <f t="shared" si="120"/>
        <v>0.357061179985902-5.30283825594329i</v>
      </c>
      <c r="AD172" s="190">
        <f t="shared" si="121"/>
        <v>14.509813434495225</v>
      </c>
      <c r="AE172" s="169">
        <f t="shared" si="122"/>
        <v>-86.147862067384963</v>
      </c>
      <c r="AF172" s="98" t="str">
        <f t="shared" si="108"/>
        <v>-0.0000673063927557778</v>
      </c>
      <c r="AG172" s="98" t="str">
        <f t="shared" si="109"/>
        <v>0.0000219342644503378i</v>
      </c>
      <c r="AH172" s="98">
        <f t="shared" si="123"/>
        <v>2.1934264450337802E-5</v>
      </c>
      <c r="AI172" s="98">
        <f t="shared" si="124"/>
        <v>1.5707963267948966</v>
      </c>
      <c r="AJ172" s="98" t="str">
        <f t="shared" si="110"/>
        <v>1+0.0220717532966378i</v>
      </c>
      <c r="AK172" s="98">
        <f t="shared" si="125"/>
        <v>1.00024355148813</v>
      </c>
      <c r="AL172" s="98">
        <f t="shared" si="126"/>
        <v>2.2068170168598598E-2</v>
      </c>
      <c r="AM172" s="98" t="str">
        <f t="shared" si="111"/>
        <v>1+3.2679178263316i</v>
      </c>
      <c r="AN172" s="98">
        <f t="shared" si="127"/>
        <v>3.4174971718577689</v>
      </c>
      <c r="AO172" s="98">
        <f t="shared" si="128"/>
        <v>1.2738392783439403</v>
      </c>
      <c r="AP172" s="168" t="str">
        <f t="shared" si="129"/>
        <v>-9.95519199848698+3.28827879605703i</v>
      </c>
      <c r="AQ172" s="98">
        <f t="shared" si="130"/>
        <v>20.41071287710627</v>
      </c>
      <c r="AR172" s="169">
        <f t="shared" si="131"/>
        <v>161.72120141486113</v>
      </c>
      <c r="AS172" s="168" t="str">
        <f t="shared" si="132"/>
        <v>13.8825979939724+53.96488968188i</v>
      </c>
      <c r="AT172" s="190">
        <f t="shared" si="133"/>
        <v>34.920526311601485</v>
      </c>
      <c r="AU172" s="169">
        <f t="shared" si="134"/>
        <v>75.57333934747615</v>
      </c>
      <c r="AV172" s="225"/>
      <c r="AX172">
        <f t="shared" si="135"/>
        <v>0</v>
      </c>
      <c r="AY172">
        <f t="shared" si="136"/>
        <v>0</v>
      </c>
    </row>
    <row r="173" spans="14:51" x14ac:dyDescent="0.25">
      <c r="N173" s="170">
        <v>55</v>
      </c>
      <c r="O173" s="199">
        <f t="shared" si="102"/>
        <v>354.81338923357566</v>
      </c>
      <c r="P173" s="189" t="str">
        <f t="shared" si="103"/>
        <v>87</v>
      </c>
      <c r="Q173" s="160" t="str">
        <f t="shared" si="104"/>
        <v>1+16.7201870551725i</v>
      </c>
      <c r="R173" s="160">
        <f t="shared" si="112"/>
        <v>16.750064333009533</v>
      </c>
      <c r="S173" s="160">
        <f t="shared" si="113"/>
        <v>1.5110595416066097</v>
      </c>
      <c r="T173" s="160" t="str">
        <f t="shared" si="105"/>
        <v>1+0.0111467913701149i</v>
      </c>
      <c r="U173" s="160">
        <f t="shared" si="114"/>
        <v>1.0000621235492568</v>
      </c>
      <c r="V173" s="160">
        <f t="shared" si="115"/>
        <v>1.114632973802779E-2</v>
      </c>
      <c r="W173" s="98" t="str">
        <f t="shared" si="106"/>
        <v>1-0.00157912877743295i</v>
      </c>
      <c r="X173" s="160">
        <f t="shared" si="116"/>
        <v>1.0000012468230706</v>
      </c>
      <c r="Y173" s="160">
        <f t="shared" si="117"/>
        <v>-1.5791274648379683E-3</v>
      </c>
      <c r="Z173" s="98" t="str">
        <f t="shared" si="107"/>
        <v>0.999999104764152+0.00331728511174621i</v>
      </c>
      <c r="AA173" s="160">
        <f t="shared" si="118"/>
        <v>1.000004606944197</v>
      </c>
      <c r="AB173" s="160">
        <f t="shared" si="119"/>
        <v>3.3172759133265344E-3</v>
      </c>
      <c r="AC173" s="171" t="str">
        <f t="shared" si="120"/>
        <v>0.34250708706708-5.18301055815827i</v>
      </c>
      <c r="AD173" s="190">
        <f t="shared" si="121"/>
        <v>14.310565860393456</v>
      </c>
      <c r="AE173" s="169">
        <f t="shared" si="122"/>
        <v>-86.219239924343825</v>
      </c>
      <c r="AF173" s="98" t="str">
        <f t="shared" si="108"/>
        <v>-0.0000673063927557778</v>
      </c>
      <c r="AG173" s="98" t="str">
        <f t="shared" si="109"/>
        <v>0.0000224451791028635i</v>
      </c>
      <c r="AH173" s="98">
        <f t="shared" si="123"/>
        <v>2.2445179102863501E-5</v>
      </c>
      <c r="AI173" s="98">
        <f t="shared" si="124"/>
        <v>1.5707963267948966</v>
      </c>
      <c r="AJ173" s="98" t="str">
        <f t="shared" si="110"/>
        <v>1+0.0225858704757991i</v>
      </c>
      <c r="AK173" s="98">
        <f t="shared" si="125"/>
        <v>1.0002550282528699</v>
      </c>
      <c r="AL173" s="98">
        <f t="shared" si="126"/>
        <v>2.2582031137799472E-2</v>
      </c>
      <c r="AM173" s="98" t="str">
        <f t="shared" si="111"/>
        <v>1+3.34403741103448i</v>
      </c>
      <c r="AN173" s="98">
        <f t="shared" si="127"/>
        <v>3.4903561718538394</v>
      </c>
      <c r="AO173" s="98">
        <f t="shared" si="128"/>
        <v>1.2802207588569614</v>
      </c>
      <c r="AP173" s="168" t="str">
        <f t="shared" si="129"/>
        <v>-9.9549635512654+3.22354304018256i</v>
      </c>
      <c r="AQ173" s="98">
        <f t="shared" si="130"/>
        <v>20.39384487140909</v>
      </c>
      <c r="AR173" s="169">
        <f t="shared" si="131"/>
        <v>162.05739125051051</v>
      </c>
      <c r="AS173" s="168" t="str">
        <f t="shared" si="132"/>
        <v>13.298012044141+52.7007675290176i</v>
      </c>
      <c r="AT173" s="190">
        <f t="shared" si="133"/>
        <v>34.704410731802547</v>
      </c>
      <c r="AU173" s="169">
        <f t="shared" si="134"/>
        <v>75.838151326166638</v>
      </c>
      <c r="AV173" s="225"/>
      <c r="AX173">
        <f t="shared" si="135"/>
        <v>0</v>
      </c>
      <c r="AY173">
        <f t="shared" si="136"/>
        <v>0</v>
      </c>
    </row>
    <row r="174" spans="14:51" x14ac:dyDescent="0.25">
      <c r="N174" s="170">
        <v>56</v>
      </c>
      <c r="O174" s="199">
        <f t="shared" si="102"/>
        <v>363.07805477010152</v>
      </c>
      <c r="P174" s="189" t="str">
        <f t="shared" si="103"/>
        <v>87</v>
      </c>
      <c r="Q174" s="160" t="str">
        <f t="shared" si="104"/>
        <v>1+17.1096502431814i</v>
      </c>
      <c r="R174" s="160">
        <f t="shared" si="112"/>
        <v>17.138848603217117</v>
      </c>
      <c r="S174" s="160">
        <f t="shared" si="113"/>
        <v>1.512416193501936</v>
      </c>
      <c r="T174" s="160" t="str">
        <f t="shared" si="105"/>
        <v>1+0.0114064334954543i</v>
      </c>
      <c r="U174" s="160">
        <f t="shared" si="114"/>
        <v>1.0000650512467109</v>
      </c>
      <c r="V174" s="160">
        <f t="shared" si="115"/>
        <v>1.1405938849498783E-2</v>
      </c>
      <c r="W174" s="98" t="str">
        <f t="shared" si="106"/>
        <v>1-0.00161591141185602i</v>
      </c>
      <c r="X174" s="160">
        <f t="shared" si="116"/>
        <v>1.0000013055839931</v>
      </c>
      <c r="Y174" s="160">
        <f t="shared" si="117"/>
        <v>-1.6159100053852562E-3</v>
      </c>
      <c r="Z174" s="98" t="str">
        <f t="shared" si="107"/>
        <v>0.999999062572986+0.00339455460824719i</v>
      </c>
      <c r="AA174" s="160">
        <f t="shared" si="118"/>
        <v>1.0000048240622836</v>
      </c>
      <c r="AB174" s="160">
        <f t="shared" si="119"/>
        <v>3.3945447519654719E-3</v>
      </c>
      <c r="AC174" s="171" t="str">
        <f t="shared" si="120"/>
        <v>0.328603468446958-5.0658528539276i</v>
      </c>
      <c r="AD174" s="190">
        <f t="shared" si="121"/>
        <v>14.111286652174647</v>
      </c>
      <c r="AE174" s="169">
        <f t="shared" si="122"/>
        <v>-86.288630508479031</v>
      </c>
      <c r="AF174" s="98" t="str">
        <f t="shared" si="108"/>
        <v>-0.0000673063927557778</v>
      </c>
      <c r="AG174" s="98" t="str">
        <f t="shared" si="109"/>
        <v>0.0000229679944864466i</v>
      </c>
      <c r="AH174" s="98">
        <f t="shared" si="123"/>
        <v>2.2967994486446601E-5</v>
      </c>
      <c r="AI174" s="98">
        <f t="shared" si="124"/>
        <v>1.5707963267948966</v>
      </c>
      <c r="AJ174" s="98" t="str">
        <f t="shared" si="110"/>
        <v>1+0.023111962982446i</v>
      </c>
      <c r="AK174" s="98">
        <f t="shared" si="125"/>
        <v>1.000267045759732</v>
      </c>
      <c r="AL174" s="98">
        <f t="shared" si="126"/>
        <v>2.3107849116976407E-2</v>
      </c>
      <c r="AM174" s="98" t="str">
        <f t="shared" si="111"/>
        <v>1+3.42193004863627i</v>
      </c>
      <c r="AN174" s="98">
        <f t="shared" si="127"/>
        <v>3.5650533316852111</v>
      </c>
      <c r="AO174" s="98">
        <f t="shared" si="128"/>
        <v>1.2864806022576636</v>
      </c>
      <c r="AP174" s="168" t="str">
        <f t="shared" si="129"/>
        <v>-9.95472434889512+3.16051596329102i</v>
      </c>
      <c r="AQ174" s="98">
        <f t="shared" si="130"/>
        <v>20.377666205682949</v>
      </c>
      <c r="AR174" s="169">
        <f t="shared" si="131"/>
        <v>162.3859267067846</v>
      </c>
      <c r="AS174" s="168" t="str">
        <f t="shared" si="132"/>
        <v>12.7395518640412+51.4677252605323i</v>
      </c>
      <c r="AT174" s="190">
        <f t="shared" si="133"/>
        <v>34.488952857857591</v>
      </c>
      <c r="AU174" s="169">
        <f t="shared" si="134"/>
        <v>76.097296198305585</v>
      </c>
      <c r="AV174" s="225"/>
      <c r="AX174">
        <f t="shared" si="135"/>
        <v>0</v>
      </c>
      <c r="AY174">
        <f t="shared" si="136"/>
        <v>0</v>
      </c>
    </row>
    <row r="175" spans="14:51" x14ac:dyDescent="0.25">
      <c r="N175" s="170">
        <v>57</v>
      </c>
      <c r="O175" s="199">
        <f t="shared" si="102"/>
        <v>371.53522909717265</v>
      </c>
      <c r="P175" s="189" t="str">
        <f t="shared" si="103"/>
        <v>87</v>
      </c>
      <c r="Q175" s="160" t="str">
        <f t="shared" si="104"/>
        <v>1+17.5081851942222i</v>
      </c>
      <c r="R175" s="160">
        <f t="shared" si="112"/>
        <v>17.53672001245334</v>
      </c>
      <c r="S175" s="160">
        <f t="shared" si="113"/>
        <v>1.5137421721511564</v>
      </c>
      <c r="T175" s="160" t="str">
        <f t="shared" si="105"/>
        <v>1+0.0116721234628148i</v>
      </c>
      <c r="U175" s="160">
        <f t="shared" si="114"/>
        <v>1.0000681169131087</v>
      </c>
      <c r="V175" s="160">
        <f t="shared" si="115"/>
        <v>1.1671593442073963E-2</v>
      </c>
      <c r="W175" s="98" t="str">
        <f t="shared" si="106"/>
        <v>1-0.00165355082389877i</v>
      </c>
      <c r="X175" s="160">
        <f t="shared" si="116"/>
        <v>1.0000013671142292</v>
      </c>
      <c r="Y175" s="160">
        <f t="shared" si="117"/>
        <v>-1.6535493168383056E-3</v>
      </c>
      <c r="Z175" s="98" t="str">
        <f t="shared" si="107"/>
        <v>0.999999018393412+0.00347362394253369i</v>
      </c>
      <c r="AA175" s="160">
        <f t="shared" si="118"/>
        <v>1.0000050514127823</v>
      </c>
      <c r="AB175" s="160">
        <f t="shared" si="119"/>
        <v>3.4736133813404019E-3</v>
      </c>
      <c r="AC175" s="171" t="str">
        <f t="shared" si="120"/>
        <v>0.315321447506321-4.95130820289138i</v>
      </c>
      <c r="AD175" s="190">
        <f t="shared" si="121"/>
        <v>13.911977323291316</v>
      </c>
      <c r="AE175" s="169">
        <f t="shared" si="122"/>
        <v>-86.356069474286102</v>
      </c>
      <c r="AF175" s="98" t="str">
        <f t="shared" si="108"/>
        <v>-0.0000673063927557778</v>
      </c>
      <c r="AG175" s="98" t="str">
        <f t="shared" si="109"/>
        <v>0.0000235029878047238i</v>
      </c>
      <c r="AH175" s="98">
        <f t="shared" si="123"/>
        <v>2.35029878047238E-5</v>
      </c>
      <c r="AI175" s="98">
        <f t="shared" si="124"/>
        <v>1.5707963267948966</v>
      </c>
      <c r="AJ175" s="98" t="str">
        <f t="shared" si="110"/>
        <v>1+0.0236503097577892i</v>
      </c>
      <c r="AK175" s="98">
        <f t="shared" si="125"/>
        <v>1.0002796294794969</v>
      </c>
      <c r="AL175" s="98">
        <f t="shared" si="126"/>
        <v>2.3645901738071073E-2</v>
      </c>
      <c r="AM175" s="98" t="str">
        <f t="shared" si="111"/>
        <v>1+3.50163703884444i</v>
      </c>
      <c r="AN175" s="98">
        <f t="shared" si="127"/>
        <v>3.6416290244624396</v>
      </c>
      <c r="AO175" s="98">
        <f t="shared" si="128"/>
        <v>1.292620164487521</v>
      </c>
      <c r="AP175" s="168" t="str">
        <f t="shared" si="129"/>
        <v>-9.95447388558489+3.09916411285647i</v>
      </c>
      <c r="AQ175" s="98">
        <f t="shared" si="130"/>
        <v>20.362150348811767</v>
      </c>
      <c r="AR175" s="169">
        <f t="shared" si="131"/>
        <v>162.70686956626869</v>
      </c>
      <c r="AS175" s="168" t="str">
        <f t="shared" si="132"/>
        <v>12.2060575793263+50.26490111929i</v>
      </c>
      <c r="AT175" s="190">
        <f t="shared" si="133"/>
        <v>34.27412767210307</v>
      </c>
      <c r="AU175" s="169">
        <f t="shared" si="134"/>
        <v>76.350800091982606</v>
      </c>
      <c r="AV175" s="225"/>
      <c r="AX175">
        <f t="shared" si="135"/>
        <v>0</v>
      </c>
      <c r="AY175">
        <f t="shared" si="136"/>
        <v>0</v>
      </c>
    </row>
    <row r="176" spans="14:51" x14ac:dyDescent="0.25">
      <c r="N176" s="170">
        <v>58</v>
      </c>
      <c r="O176" s="199">
        <f t="shared" si="102"/>
        <v>380.18939632056163</v>
      </c>
      <c r="P176" s="189" t="str">
        <f t="shared" si="103"/>
        <v>87</v>
      </c>
      <c r="Q176" s="160" t="str">
        <f t="shared" si="104"/>
        <v>1+17.9160032168013i</v>
      </c>
      <c r="R176" s="160">
        <f t="shared" si="112"/>
        <v>17.943889524415674</v>
      </c>
      <c r="S176" s="160">
        <f t="shared" si="113"/>
        <v>1.5150381619442608</v>
      </c>
      <c r="T176" s="160" t="str">
        <f t="shared" si="105"/>
        <v>1+0.0119440021445341i</v>
      </c>
      <c r="U176" s="160">
        <f t="shared" si="114"/>
        <v>1.0000713270498403</v>
      </c>
      <c r="V176" s="160">
        <f t="shared" si="115"/>
        <v>1.1943434219265763E-2</v>
      </c>
      <c r="W176" s="98" t="str">
        <f t="shared" si="106"/>
        <v>1-0.00169206697047567i</v>
      </c>
      <c r="X176" s="160">
        <f t="shared" si="116"/>
        <v>1.0000014315442916</v>
      </c>
      <c r="Y176" s="160">
        <f t="shared" si="117"/>
        <v>-1.6920653556314132E-3</v>
      </c>
      <c r="Z176" s="98" t="str">
        <f t="shared" si="107"/>
        <v>0.999998972131719+0.00355453503821336i</v>
      </c>
      <c r="AA176" s="160">
        <f t="shared" si="118"/>
        <v>1.000005289477927</v>
      </c>
      <c r="AB176" s="160">
        <f t="shared" si="119"/>
        <v>3.5545237216940643E-3</v>
      </c>
      <c r="AC176" s="171" t="str">
        <f t="shared" si="120"/>
        <v>0.302633412372712-4.83932070834121i</v>
      </c>
      <c r="AD176" s="190">
        <f t="shared" si="121"/>
        <v>13.71263932465515</v>
      </c>
      <c r="AE176" s="169">
        <f t="shared" si="122"/>
        <v>-86.42159151797803</v>
      </c>
      <c r="AF176" s="98" t="str">
        <f t="shared" si="108"/>
        <v>-0.0000673063927557778</v>
      </c>
      <c r="AG176" s="98" t="str">
        <f t="shared" si="109"/>
        <v>0.000024050442718234i</v>
      </c>
      <c r="AH176" s="98">
        <f t="shared" si="123"/>
        <v>2.4050442718233999E-5</v>
      </c>
      <c r="AI176" s="98">
        <f t="shared" si="124"/>
        <v>1.5707963267948966</v>
      </c>
      <c r="AJ176" s="98" t="str">
        <f t="shared" si="110"/>
        <v>1+0.0242011962404148i</v>
      </c>
      <c r="AK176" s="98">
        <f t="shared" si="125"/>
        <v>1.0002928060820326</v>
      </c>
      <c r="AL176" s="98">
        <f t="shared" si="126"/>
        <v>2.4196473036858436E-2</v>
      </c>
      <c r="AM176" s="98" t="str">
        <f t="shared" si="111"/>
        <v>1+3.58320064336024i</v>
      </c>
      <c r="AN176" s="98">
        <f t="shared" si="127"/>
        <v>3.7201245746046241</v>
      </c>
      <c r="AO176" s="98">
        <f t="shared" si="128"/>
        <v>1.2986408487009564</v>
      </c>
      <c r="AP176" s="168" t="str">
        <f t="shared" si="129"/>
        <v>-9.95421163181046+3.03945492210053i</v>
      </c>
      <c r="AQ176" s="98">
        <f t="shared" si="130"/>
        <v>20.347271559105629</v>
      </c>
      <c r="AR176" s="169">
        <f t="shared" si="131"/>
        <v>163.020283949738</v>
      </c>
      <c r="AS176" s="168" t="str">
        <f t="shared" si="132"/>
        <v>11.6964201129758+49.0914630998596i</v>
      </c>
      <c r="AT176" s="190">
        <f t="shared" si="133"/>
        <v>34.059910883760772</v>
      </c>
      <c r="AU176" s="169">
        <f t="shared" si="134"/>
        <v>76.598692431759972</v>
      </c>
      <c r="AV176" s="225"/>
      <c r="AX176">
        <f t="shared" si="135"/>
        <v>0</v>
      </c>
      <c r="AY176">
        <f t="shared" si="136"/>
        <v>0</v>
      </c>
    </row>
    <row r="177" spans="14:51" x14ac:dyDescent="0.25">
      <c r="N177" s="170">
        <v>59</v>
      </c>
      <c r="O177" s="199">
        <f t="shared" si="102"/>
        <v>389.04514499428063</v>
      </c>
      <c r="P177" s="189" t="str">
        <f t="shared" si="103"/>
        <v>87</v>
      </c>
      <c r="Q177" s="160" t="str">
        <f t="shared" si="104"/>
        <v>1+18.3333205414322i</v>
      </c>
      <c r="R177" s="160">
        <f t="shared" si="112"/>
        <v>18.360573032313013</v>
      </c>
      <c r="S177" s="160">
        <f t="shared" si="113"/>
        <v>1.5163048326084863</v>
      </c>
      <c r="T177" s="160" t="str">
        <f t="shared" si="105"/>
        <v>1+0.0122222136942881i</v>
      </c>
      <c r="U177" s="160">
        <f t="shared" si="114"/>
        <v>1.000074688464611</v>
      </c>
      <c r="V177" s="160">
        <f t="shared" si="115"/>
        <v>1.2221605153853701E-2</v>
      </c>
      <c r="W177" s="98" t="str">
        <f t="shared" si="106"/>
        <v>1-0.00173148027335748i</v>
      </c>
      <c r="X177" s="160">
        <f t="shared" si="116"/>
        <v>1.000001499010845</v>
      </c>
      <c r="Y177" s="160">
        <f t="shared" si="117"/>
        <v>-1.7314785430208239E-3</v>
      </c>
      <c r="Z177" s="98" t="str">
        <f t="shared" si="107"/>
        <v>0.999998923689779+0.00363733079542014i</v>
      </c>
      <c r="AA177" s="160">
        <f t="shared" si="118"/>
        <v>1.0000055387626769</v>
      </c>
      <c r="AB177" s="160">
        <f t="shared" si="119"/>
        <v>3.6373186695548365E-3</v>
      </c>
      <c r="AC177" s="171" t="str">
        <f t="shared" si="120"/>
        <v>0.290512962035748-4.72983550998817i</v>
      </c>
      <c r="AD177" s="190">
        <f t="shared" si="121"/>
        <v>13.513274047596465</v>
      </c>
      <c r="AE177" s="169">
        <f t="shared" si="122"/>
        <v>-86.485230390908072</v>
      </c>
      <c r="AF177" s="98" t="str">
        <f t="shared" si="108"/>
        <v>-0.0000673063927557778</v>
      </c>
      <c r="AG177" s="98" t="str">
        <f t="shared" si="109"/>
        <v>0.0000246106494948185i</v>
      </c>
      <c r="AH177" s="98">
        <f t="shared" si="123"/>
        <v>2.4610649494818499E-5</v>
      </c>
      <c r="AI177" s="98">
        <f t="shared" si="124"/>
        <v>1.5707963267948966</v>
      </c>
      <c r="AJ177" s="98" t="str">
        <f t="shared" si="110"/>
        <v>1+0.0247649145176278i</v>
      </c>
      <c r="AK177" s="98">
        <f t="shared" si="125"/>
        <v>1.0003066034926817</v>
      </c>
      <c r="AL177" s="98">
        <f t="shared" si="126"/>
        <v>2.4759853597611896E-2</v>
      </c>
      <c r="AM177" s="98" t="str">
        <f t="shared" si="111"/>
        <v>1+3.66666410828643i</v>
      </c>
      <c r="AN177" s="98">
        <f t="shared" si="127"/>
        <v>3.8005822820978263</v>
      </c>
      <c r="AO177" s="98">
        <f t="shared" si="128"/>
        <v>1.3045441005252245</v>
      </c>
      <c r="AP177" s="168" t="str">
        <f t="shared" si="129"/>
        <v>-9.95393703320666+2.98135669254829i</v>
      </c>
      <c r="AQ177" s="98">
        <f t="shared" si="130"/>
        <v>20.333004875902802</v>
      </c>
      <c r="AR177" s="169">
        <f t="shared" si="131"/>
        <v>163.32623603628065</v>
      </c>
      <c r="AS177" s="168" t="str">
        <f t="shared" si="132"/>
        <v>11.2095790209216+47.9466076074845i</v>
      </c>
      <c r="AT177" s="190">
        <f t="shared" si="133"/>
        <v>33.84627892349927</v>
      </c>
      <c r="AU177" s="169">
        <f t="shared" si="134"/>
        <v>76.841005645372604</v>
      </c>
      <c r="AV177" s="225"/>
      <c r="AX177">
        <f t="shared" si="135"/>
        <v>0</v>
      </c>
      <c r="AY177">
        <f t="shared" si="136"/>
        <v>0</v>
      </c>
    </row>
    <row r="178" spans="14:51" x14ac:dyDescent="0.25">
      <c r="N178" s="170">
        <v>60</v>
      </c>
      <c r="O178" s="199">
        <f t="shared" si="102"/>
        <v>398.10717055349761</v>
      </c>
      <c r="P178" s="189" t="str">
        <f t="shared" si="103"/>
        <v>87</v>
      </c>
      <c r="Q178" s="160" t="str">
        <f t="shared" si="104"/>
        <v>1+18.7603584352843i</v>
      </c>
      <c r="R178" s="160">
        <f t="shared" si="112"/>
        <v>18.786991473366424</v>
      </c>
      <c r="S178" s="160">
        <f t="shared" si="113"/>
        <v>1.5175428394816513</v>
      </c>
      <c r="T178" s="160" t="str">
        <f t="shared" si="105"/>
        <v>1+0.0125069056235229i</v>
      </c>
      <c r="U178" s="160">
        <f t="shared" si="114"/>
        <v>1.0000782082858699</v>
      </c>
      <c r="V178" s="160">
        <f t="shared" si="115"/>
        <v>1.2506253563453452E-2</v>
      </c>
      <c r="W178" s="98" t="str">
        <f t="shared" si="106"/>
        <v>1-0.00177181162999907i</v>
      </c>
      <c r="X178" s="160">
        <f t="shared" si="116"/>
        <v>1.0000015696569942</v>
      </c>
      <c r="Y178" s="160">
        <f t="shared" si="117"/>
        <v>-1.7718097759100956E-3</v>
      </c>
      <c r="Z178" s="98" t="str">
        <f t="shared" si="107"/>
        <v>0.999998872964841+0.0037220551135604i</v>
      </c>
      <c r="AA178" s="160">
        <f t="shared" si="118"/>
        <v>1.0000057997957914</v>
      </c>
      <c r="AB178" s="160">
        <f t="shared" si="119"/>
        <v>3.7220421204656622E-3</v>
      </c>
      <c r="AC178" s="171" t="str">
        <f t="shared" si="120"/>
        <v>0.278934854624469-4.62279877582874i</v>
      </c>
      <c r="AD178" s="190">
        <f t="shared" si="121"/>
        <v>13.313882826707047</v>
      </c>
      <c r="AE178" s="169">
        <f t="shared" si="122"/>
        <v>-86.547018912823503</v>
      </c>
      <c r="AF178" s="98" t="str">
        <f t="shared" si="108"/>
        <v>-0.0000673063927557778</v>
      </c>
      <c r="AG178" s="98" t="str">
        <f t="shared" si="109"/>
        <v>0.0000251839051635256i</v>
      </c>
      <c r="AH178" s="98">
        <f t="shared" si="123"/>
        <v>2.5183905163525601E-5</v>
      </c>
      <c r="AI178" s="98">
        <f t="shared" si="124"/>
        <v>1.5707963267948966</v>
      </c>
      <c r="AJ178" s="98" t="str">
        <f t="shared" si="110"/>
        <v>1+0.0253417634803204i</v>
      </c>
      <c r="AK178" s="98">
        <f t="shared" si="125"/>
        <v>1.0003210509512896</v>
      </c>
      <c r="AL178" s="98">
        <f t="shared" si="126"/>
        <v>2.5336340700816983E-2</v>
      </c>
      <c r="AM178" s="98" t="str">
        <f t="shared" si="111"/>
        <v>1+3.75207168705685i</v>
      </c>
      <c r="AN178" s="98">
        <f t="shared" si="127"/>
        <v>3.8830454471733442</v>
      </c>
      <c r="AO178" s="98">
        <f t="shared" si="128"/>
        <v>1.3103314035338618</v>
      </c>
      <c r="AP178" s="168" t="str">
        <f t="shared" si="129"/>
        <v>-9.95364950940686+2.92483857703193i</v>
      </c>
      <c r="AQ178" s="98">
        <f t="shared" si="130"/>
        <v>20.319326109677746</v>
      </c>
      <c r="AR178" s="169">
        <f t="shared" si="131"/>
        <v>163.62479379548154</v>
      </c>
      <c r="AS178" s="168" t="str">
        <f t="shared" si="132"/>
        <v>10.7445204145106+46.8295581903988i</v>
      </c>
      <c r="AT178" s="190">
        <f t="shared" si="133"/>
        <v>33.63320893638479</v>
      </c>
      <c r="AU178" s="169">
        <f t="shared" si="134"/>
        <v>77.077774882657977</v>
      </c>
      <c r="AV178" s="225"/>
      <c r="AX178">
        <f t="shared" si="135"/>
        <v>0</v>
      </c>
      <c r="AY178">
        <f t="shared" si="136"/>
        <v>0</v>
      </c>
    </row>
    <row r="179" spans="14:51" x14ac:dyDescent="0.25">
      <c r="N179" s="170">
        <v>61</v>
      </c>
      <c r="O179" s="199">
        <f t="shared" si="102"/>
        <v>407.38027780411272</v>
      </c>
      <c r="P179" s="189" t="str">
        <f t="shared" si="103"/>
        <v>87</v>
      </c>
      <c r="Q179" s="160" t="str">
        <f t="shared" si="104"/>
        <v>1+19.1973433195016i</v>
      </c>
      <c r="R179" s="160">
        <f t="shared" si="112"/>
        <v>19.223370945981682</v>
      </c>
      <c r="S179" s="160">
        <f t="shared" si="113"/>
        <v>1.5187528237832237</v>
      </c>
      <c r="T179" s="160" t="str">
        <f t="shared" si="105"/>
        <v>1+0.0127982288796677i</v>
      </c>
      <c r="U179" s="160">
        <f t="shared" si="114"/>
        <v>1.0000818939779164</v>
      </c>
      <c r="V179" s="160">
        <f t="shared" si="115"/>
        <v>1.2797530187805151E-2</v>
      </c>
      <c r="W179" s="98" t="str">
        <f t="shared" si="106"/>
        <v>1-0.00181308242461959i</v>
      </c>
      <c r="X179" s="160">
        <f t="shared" si="116"/>
        <v>1.0000016436325885</v>
      </c>
      <c r="Y179" s="160">
        <f t="shared" si="117"/>
        <v>-1.8130804379276368E-3</v>
      </c>
      <c r="Z179" s="98" t="str">
        <f t="shared" si="107"/>
        <v>0.99999881984931+0.00380875291458911i</v>
      </c>
      <c r="AA179" s="160">
        <f t="shared" si="118"/>
        <v>1.0000060731309472</v>
      </c>
      <c r="AB179" s="160">
        <f t="shared" si="119"/>
        <v>3.8087389922417838E-3</v>
      </c>
      <c r="AC179" s="171" t="str">
        <f t="shared" si="120"/>
        <v>0.267874957772101-4.51815769319711i</v>
      </c>
      <c r="AD179" s="190">
        <f t="shared" si="121"/>
        <v>13.114466942572529</v>
      </c>
      <c r="AE179" s="169">
        <f t="shared" si="122"/>
        <v>-86.606988984935612</v>
      </c>
      <c r="AF179" s="98" t="str">
        <f t="shared" si="108"/>
        <v>-0.0000673063927557778</v>
      </c>
      <c r="AG179" s="98" t="str">
        <f t="shared" si="109"/>
        <v>0.0000257705136720989i</v>
      </c>
      <c r="AH179" s="98">
        <f t="shared" si="123"/>
        <v>2.5770513672098901E-5</v>
      </c>
      <c r="AI179" s="98">
        <f t="shared" si="124"/>
        <v>1.5707963267948966</v>
      </c>
      <c r="AJ179" s="98" t="str">
        <f t="shared" si="110"/>
        <v>1+0.0259320489814483i</v>
      </c>
      <c r="AK179" s="98">
        <f t="shared" si="125"/>
        <v>1.0003361790740033</v>
      </c>
      <c r="AL179" s="98">
        <f t="shared" si="126"/>
        <v>2.592623847398301E-2</v>
      </c>
      <c r="AM179" s="98" t="str">
        <f t="shared" si="111"/>
        <v>1+3.83946866390031i</v>
      </c>
      <c r="AN179" s="98">
        <f t="shared" si="127"/>
        <v>3.9675583954205931</v>
      </c>
      <c r="AO179" s="98">
        <f t="shared" si="128"/>
        <v>1.3160042749331637</v>
      </c>
      <c r="AP179" s="168" t="str">
        <f t="shared" si="129"/>
        <v>-9.95334845283054+2.86987056313237i</v>
      </c>
      <c r="AQ179" s="98">
        <f t="shared" si="130"/>
        <v>20.30621183081437</v>
      </c>
      <c r="AR179" s="169">
        <f t="shared" si="131"/>
        <v>163.91602673163536</v>
      </c>
      <c r="AS179" s="168" t="str">
        <f t="shared" si="132"/>
        <v>10.3002749668035+45.7395643411383i</v>
      </c>
      <c r="AT179" s="190">
        <f t="shared" si="133"/>
        <v>33.420678773386896</v>
      </c>
      <c r="AU179" s="169">
        <f t="shared" si="134"/>
        <v>77.309037746699687</v>
      </c>
      <c r="AV179" s="225"/>
      <c r="AX179">
        <f t="shared" si="135"/>
        <v>0</v>
      </c>
      <c r="AY179">
        <f t="shared" si="136"/>
        <v>0</v>
      </c>
    </row>
    <row r="180" spans="14:51" x14ac:dyDescent="0.25">
      <c r="N180" s="170">
        <v>62</v>
      </c>
      <c r="O180" s="199">
        <f t="shared" si="102"/>
        <v>416.86938347033572</v>
      </c>
      <c r="P180" s="189" t="str">
        <f t="shared" si="103"/>
        <v>87</v>
      </c>
      <c r="Q180" s="160" t="str">
        <f t="shared" si="104"/>
        <v>1+19.6445068892538i</v>
      </c>
      <c r="R180" s="160">
        <f t="shared" si="112"/>
        <v>19.669942829656115</v>
      </c>
      <c r="S180" s="160">
        <f t="shared" si="113"/>
        <v>1.5199354128829221</v>
      </c>
      <c r="T180" s="160" t="str">
        <f t="shared" si="105"/>
        <v>1+0.0130963379261691i</v>
      </c>
      <c r="U180" s="160">
        <f t="shared" si="114"/>
        <v>1.0000857533567191</v>
      </c>
      <c r="V180" s="160">
        <f t="shared" si="115"/>
        <v>1.3095589267817011E-2</v>
      </c>
      <c r="W180" s="98" t="str">
        <f t="shared" si="106"/>
        <v>1-0.00185531453954063i</v>
      </c>
      <c r="X180" s="160">
        <f t="shared" si="116"/>
        <v>1.0000017210945393</v>
      </c>
      <c r="Y180" s="160">
        <f t="shared" si="117"/>
        <v>-1.8553124107620464E-3</v>
      </c>
      <c r="Z180" s="98" t="str">
        <f t="shared" si="107"/>
        <v>0.999998764230522+0.00389747016682794i</v>
      </c>
      <c r="AA180" s="160">
        <f t="shared" si="118"/>
        <v>1.0000063593479154</v>
      </c>
      <c r="AB180" s="160">
        <f t="shared" si="119"/>
        <v>3.8974552487690741E-3</v>
      </c>
      <c r="AC180" s="171" t="str">
        <f t="shared" si="120"/>
        <v>0.257310200994928-4.4158604590852i</v>
      </c>
      <c r="AD180" s="190">
        <f t="shared" si="121"/>
        <v>12.915027624398634</v>
      </c>
      <c r="AE180" s="169">
        <f t="shared" si="122"/>
        <v>-86.665171602793393</v>
      </c>
      <c r="AF180" s="98" t="str">
        <f t="shared" si="108"/>
        <v>-0.0000673063927557778</v>
      </c>
      <c r="AG180" s="98" t="str">
        <f t="shared" si="109"/>
        <v>0.0000263707860481342i</v>
      </c>
      <c r="AH180" s="98">
        <f t="shared" si="123"/>
        <v>2.6370786048134199E-5</v>
      </c>
      <c r="AI180" s="98">
        <f t="shared" si="124"/>
        <v>1.5707963267948966</v>
      </c>
      <c r="AJ180" s="98" t="str">
        <f t="shared" si="110"/>
        <v>1+0.0265360839981973i</v>
      </c>
      <c r="AK180" s="98">
        <f t="shared" si="125"/>
        <v>1.0003520199179683</v>
      </c>
      <c r="AL180" s="98">
        <f t="shared" si="126"/>
        <v>2.6529858045598598E-2</v>
      </c>
      <c r="AM180" s="98" t="str">
        <f t="shared" si="111"/>
        <v>1+3.92890137785074i</v>
      </c>
      <c r="AN180" s="98">
        <f t="shared" si="127"/>
        <v>4.0541665033490482</v>
      </c>
      <c r="AO180" s="98">
        <f t="shared" si="128"/>
        <v>1.3215642614600387</v>
      </c>
      <c r="AP180" s="168" t="str">
        <f t="shared" si="129"/>
        <v>-9.95303322741339+2.81642345704901i</v>
      </c>
      <c r="AQ180" s="98">
        <f t="shared" si="130"/>
        <v>20.293639357190333</v>
      </c>
      <c r="AR180" s="169">
        <f t="shared" si="131"/>
        <v>164.20000563988984</v>
      </c>
      <c r="AS180" s="168" t="str">
        <f t="shared" si="132"/>
        <v>9.87591599976783+44.6759003627161i</v>
      </c>
      <c r="AT180" s="190">
        <f t="shared" si="133"/>
        <v>33.208666981588976</v>
      </c>
      <c r="AU180" s="169">
        <f t="shared" si="134"/>
        <v>77.534834037096473</v>
      </c>
      <c r="AV180" s="225"/>
      <c r="AX180">
        <f t="shared" si="135"/>
        <v>0</v>
      </c>
      <c r="AY180">
        <f t="shared" si="136"/>
        <v>0</v>
      </c>
    </row>
    <row r="181" spans="14:51" x14ac:dyDescent="0.25">
      <c r="N181" s="170">
        <v>63</v>
      </c>
      <c r="O181" s="199">
        <f t="shared" si="102"/>
        <v>426.57951880159294</v>
      </c>
      <c r="P181" s="189" t="str">
        <f t="shared" si="103"/>
        <v>87</v>
      </c>
      <c r="Q181" s="160" t="str">
        <f t="shared" si="104"/>
        <v>1+20.1020862365844i</v>
      </c>
      <c r="R181" s="160">
        <f t="shared" si="112"/>
        <v>20.126943907684449</v>
      </c>
      <c r="S181" s="160">
        <f t="shared" si="113"/>
        <v>1.5210912205666638</v>
      </c>
      <c r="T181" s="160" t="str">
        <f t="shared" si="105"/>
        <v>1+0.0134013908243896i</v>
      </c>
      <c r="U181" s="160">
        <f t="shared" si="114"/>
        <v>1.0000897946064784</v>
      </c>
      <c r="V181" s="160">
        <f t="shared" si="115"/>
        <v>1.3400588626402355E-2</v>
      </c>
      <c r="W181" s="98" t="str">
        <f t="shared" si="106"/>
        <v>1-0.00189853036678852i</v>
      </c>
      <c r="X181" s="160">
        <f t="shared" si="116"/>
        <v>1.0000018022071528</v>
      </c>
      <c r="Y181" s="160">
        <f t="shared" si="117"/>
        <v>-1.898528085761393E-3</v>
      </c>
      <c r="Z181" s="98" t="str">
        <f t="shared" si="107"/>
        <v>0.999998705990501+0.00398825390933833i</v>
      </c>
      <c r="AA181" s="160">
        <f t="shared" si="118"/>
        <v>1.0000066590537893</v>
      </c>
      <c r="AB181" s="160">
        <f t="shared" si="119"/>
        <v>3.9882379243559463E-3</v>
      </c>
      <c r="AC181" s="171" t="str">
        <f t="shared" si="120"/>
        <v>0.247218530013542-4.31585626980649i</v>
      </c>
      <c r="AD181" s="190">
        <f t="shared" si="121"/>
        <v>12.715566052536154</v>
      </c>
      <c r="AE181" s="169">
        <f t="shared" si="122"/>
        <v>-86.72159686894976</v>
      </c>
      <c r="AF181" s="98" t="str">
        <f t="shared" si="108"/>
        <v>-0.0000673063927557778</v>
      </c>
      <c r="AG181" s="98" t="str">
        <f t="shared" si="109"/>
        <v>0.0000269850405639908i</v>
      </c>
      <c r="AH181" s="98">
        <f t="shared" si="123"/>
        <v>2.6985040563990799E-5</v>
      </c>
      <c r="AI181" s="98">
        <f t="shared" si="124"/>
        <v>1.5707963267948966</v>
      </c>
      <c r="AJ181" s="98" t="str">
        <f t="shared" si="110"/>
        <v>1+0.0271541887979288i</v>
      </c>
      <c r="AK181" s="98">
        <f t="shared" si="125"/>
        <v>1.0003686070490585</v>
      </c>
      <c r="AL181" s="98">
        <f t="shared" si="126"/>
        <v>2.7147517702280889E-2</v>
      </c>
      <c r="AM181" s="98" t="str">
        <f t="shared" si="111"/>
        <v>1+4.02041724731686i</v>
      </c>
      <c r="AN181" s="98">
        <f t="shared" si="127"/>
        <v>4.142916224415222</v>
      </c>
      <c r="AO181" s="98">
        <f t="shared" si="128"/>
        <v>1.3270129354887477</v>
      </c>
      <c r="AP181" s="168" t="str">
        <f t="shared" si="129"/>
        <v>-9.95270316727951+2.76446886788811i</v>
      </c>
      <c r="AQ181" s="98">
        <f t="shared" si="130"/>
        <v>20.281586740713827</v>
      </c>
      <c r="AR181" s="169">
        <f t="shared" si="131"/>
        <v>164.47680237417407</v>
      </c>
      <c r="AS181" s="168" t="str">
        <f t="shared" si="132"/>
        <v>9.47055764948379+43.6378642958137i</v>
      </c>
      <c r="AT181" s="190">
        <f t="shared" si="133"/>
        <v>32.997152793249981</v>
      </c>
      <c r="AU181" s="169">
        <f t="shared" si="134"/>
        <v>77.755205505224311</v>
      </c>
      <c r="AV181" s="225"/>
      <c r="AX181">
        <f t="shared" si="135"/>
        <v>0</v>
      </c>
      <c r="AY181">
        <f t="shared" si="136"/>
        <v>0</v>
      </c>
    </row>
    <row r="182" spans="14:51" x14ac:dyDescent="0.25">
      <c r="N182" s="170">
        <v>64</v>
      </c>
      <c r="O182" s="199">
        <f t="shared" si="102"/>
        <v>436.51583224016622</v>
      </c>
      <c r="P182" s="189" t="str">
        <f t="shared" si="103"/>
        <v>87</v>
      </c>
      <c r="Q182" s="160" t="str">
        <f t="shared" si="104"/>
        <v>1+20.5703239761202i</v>
      </c>
      <c r="R182" s="160">
        <f t="shared" si="112"/>
        <v>20.594616492728036</v>
      </c>
      <c r="S182" s="160">
        <f t="shared" si="113"/>
        <v>1.5222208472996999</v>
      </c>
      <c r="T182" s="160" t="str">
        <f t="shared" si="105"/>
        <v>1+0.0137135493174134i</v>
      </c>
      <c r="U182" s="160">
        <f t="shared" si="114"/>
        <v>1.0000940262969682</v>
      </c>
      <c r="V182" s="160">
        <f t="shared" si="115"/>
        <v>1.3712689751148092E-2</v>
      </c>
      <c r="W182" s="98" t="str">
        <f t="shared" si="106"/>
        <v>1-0.0019427528199669i</v>
      </c>
      <c r="X182" s="160">
        <f t="shared" si="116"/>
        <v>1.0000018871424792</v>
      </c>
      <c r="Y182" s="160">
        <f t="shared" si="117"/>
        <v>-1.9427503758025469E-3</v>
      </c>
      <c r="Z182" s="98" t="str">
        <f t="shared" si="107"/>
        <v>0.999998645005712+0.00408115227686223i</v>
      </c>
      <c r="AA182" s="160">
        <f t="shared" si="118"/>
        <v>1.0000069728842729</v>
      </c>
      <c r="AB182" s="160">
        <f t="shared" si="119"/>
        <v>4.0811351486513955E-3</v>
      </c>
      <c r="AC182" s="171" t="str">
        <f t="shared" si="120"/>
        <v>0.237578862946391-4.21809531007434i</v>
      </c>
      <c r="AD182" s="190">
        <f t="shared" si="121"/>
        <v>12.516083360909425</v>
      </c>
      <c r="AE182" s="169">
        <f t="shared" si="122"/>
        <v>-86.776294005409042</v>
      </c>
      <c r="AF182" s="98" t="str">
        <f t="shared" si="108"/>
        <v>-0.0000673063927557778</v>
      </c>
      <c r="AG182" s="98" t="str">
        <f t="shared" si="109"/>
        <v>0.0000276136029055436i</v>
      </c>
      <c r="AH182" s="98">
        <f t="shared" si="123"/>
        <v>2.76136029055436E-5</v>
      </c>
      <c r="AI182" s="98">
        <f t="shared" si="124"/>
        <v>1.5707963267948966</v>
      </c>
      <c r="AJ182" s="98" t="str">
        <f t="shared" si="110"/>
        <v>1+0.027786691107989i</v>
      </c>
      <c r="AK182" s="98">
        <f t="shared" si="125"/>
        <v>1.0003859756127786</v>
      </c>
      <c r="AL182" s="98">
        <f t="shared" si="126"/>
        <v>2.777954304916162E-2</v>
      </c>
      <c r="AM182" s="98" t="str">
        <f t="shared" si="111"/>
        <v>1+4.11406479522402i</v>
      </c>
      <c r="AN182" s="98">
        <f t="shared" si="127"/>
        <v>4.2338551155302486</v>
      </c>
      <c r="AO182" s="98">
        <f t="shared" si="128"/>
        <v>1.3323518913431731</v>
      </c>
      <c r="AP182" s="168" t="str">
        <f t="shared" si="129"/>
        <v>-9.9523575753525+2.71397919236036i</v>
      </c>
      <c r="AQ182" s="98">
        <f t="shared" si="130"/>
        <v>20.270032752943841</v>
      </c>
      <c r="AR182" s="169">
        <f t="shared" si="131"/>
        <v>164.7464896267177</v>
      </c>
      <c r="AS182" s="168" t="str">
        <f t="shared" si="132"/>
        <v>9.08335310654643+42.6247769033584i</v>
      </c>
      <c r="AT182" s="190">
        <f t="shared" si="133"/>
        <v>32.786116113853282</v>
      </c>
      <c r="AU182" s="169">
        <f t="shared" si="134"/>
        <v>77.97019562130869</v>
      </c>
      <c r="AV182" s="225"/>
      <c r="AX182">
        <f t="shared" si="135"/>
        <v>0</v>
      </c>
      <c r="AY182">
        <f t="shared" si="136"/>
        <v>0</v>
      </c>
    </row>
    <row r="183" spans="14:51" x14ac:dyDescent="0.25">
      <c r="N183" s="170">
        <v>65</v>
      </c>
      <c r="O183" s="199">
        <f t="shared" si="102"/>
        <v>446.68359215096331</v>
      </c>
      <c r="P183" s="189" t="str">
        <f t="shared" si="103"/>
        <v>87</v>
      </c>
      <c r="Q183" s="160" t="str">
        <f t="shared" si="104"/>
        <v>1+21.0494683737085i</v>
      </c>
      <c r="R183" s="160">
        <f t="shared" si="112"/>
        <v>21.073208555313887</v>
      </c>
      <c r="S183" s="160">
        <f t="shared" si="113"/>
        <v>1.5233248804867843</v>
      </c>
      <c r="T183" s="160" t="str">
        <f t="shared" si="105"/>
        <v>1+0.0140329789158056i</v>
      </c>
      <c r="U183" s="160">
        <f t="shared" si="114"/>
        <v>1.0000984574016958</v>
      </c>
      <c r="V183" s="160">
        <f t="shared" si="115"/>
        <v>1.4032057878855348E-2</v>
      </c>
      <c r="W183" s="98" t="str">
        <f t="shared" si="106"/>
        <v>1-0.0019880053464058i</v>
      </c>
      <c r="X183" s="160">
        <f t="shared" si="116"/>
        <v>1.0000019760806762</v>
      </c>
      <c r="Y183" s="160">
        <f t="shared" si="117"/>
        <v>-1.9880027274367901E-3</v>
      </c>
      <c r="Z183" s="98" t="str">
        <f t="shared" si="107"/>
        <v>0.999998581146798+0.00417621452534376i</v>
      </c>
      <c r="AA183" s="160">
        <f t="shared" si="118"/>
        <v>1.0000073015050293</v>
      </c>
      <c r="AB183" s="160">
        <f t="shared" si="119"/>
        <v>4.1761961721423508E-3</v>
      </c>
      <c r="AC183" s="171" t="str">
        <f t="shared" si="120"/>
        <v>0.228371048307196-4.12252874156056i</v>
      </c>
      <c r="AD183" s="190">
        <f t="shared" si="121"/>
        <v>12.31658063935299</v>
      </c>
      <c r="AE183" s="169">
        <f t="shared" si="122"/>
        <v>-86.829291365846643</v>
      </c>
      <c r="AF183" s="98" t="str">
        <f t="shared" si="108"/>
        <v>-0.0000673063927557778</v>
      </c>
      <c r="AG183" s="98" t="str">
        <f t="shared" si="109"/>
        <v>0.0000282568063448663i</v>
      </c>
      <c r="AH183" s="98">
        <f t="shared" si="123"/>
        <v>2.82568063448663E-5</v>
      </c>
      <c r="AI183" s="98">
        <f t="shared" si="124"/>
        <v>1.5707963267948966</v>
      </c>
      <c r="AJ183" s="98" t="str">
        <f t="shared" si="110"/>
        <v>1+0.0284339262894751i</v>
      </c>
      <c r="AK183" s="98">
        <f t="shared" si="125"/>
        <v>1.0004041624084914</v>
      </c>
      <c r="AL183" s="98">
        <f t="shared" si="126"/>
        <v>2.8426267173558756E-2</v>
      </c>
      <c r="AM183" s="98" t="str">
        <f t="shared" si="111"/>
        <v>1+4.20989367474169i</v>
      </c>
      <c r="AN183" s="98">
        <f t="shared" si="127"/>
        <v>4.3270318640645682</v>
      </c>
      <c r="AO183" s="98">
        <f t="shared" si="128"/>
        <v>1.3375827418106052</v>
      </c>
      <c r="AP183" s="168" t="str">
        <f t="shared" si="129"/>
        <v>-9.95199572190236+2.66492759987826i</v>
      </c>
      <c r="AQ183" s="98">
        <f t="shared" si="130"/>
        <v>20.258956869916538</v>
      </c>
      <c r="AR183" s="169">
        <f t="shared" si="131"/>
        <v>165.00914071892831</v>
      </c>
      <c r="AS183" s="168" t="str">
        <f t="shared" si="132"/>
        <v>8.71349292891655+41.6359807090772i</v>
      </c>
      <c r="AT183" s="190">
        <f t="shared" si="133"/>
        <v>32.57553750926953</v>
      </c>
      <c r="AU183" s="169">
        <f t="shared" si="134"/>
        <v>78.179849353081693</v>
      </c>
      <c r="AV183" s="225"/>
      <c r="AX183">
        <f t="shared" si="135"/>
        <v>0</v>
      </c>
      <c r="AY183">
        <f t="shared" si="136"/>
        <v>0</v>
      </c>
    </row>
    <row r="184" spans="14:51" x14ac:dyDescent="0.25">
      <c r="N184" s="170">
        <v>66</v>
      </c>
      <c r="O184" s="199">
        <f t="shared" ref="O184:O218" si="137">10^(2+(N184/100))</f>
        <v>457.0881896148756</v>
      </c>
      <c r="P184" s="189" t="str">
        <f t="shared" si="103"/>
        <v>87</v>
      </c>
      <c r="Q184" s="160" t="str">
        <f t="shared" si="104"/>
        <v>1+21.5397734780513i</v>
      </c>
      <c r="R184" s="160">
        <f t="shared" si="112"/>
        <v>21.562973855332711</v>
      </c>
      <c r="S184" s="160">
        <f t="shared" si="113"/>
        <v>1.5244038947292538</v>
      </c>
      <c r="T184" s="160" t="str">
        <f t="shared" si="105"/>
        <v>1+0.0143598489853675i</v>
      </c>
      <c r="U184" s="160">
        <f t="shared" si="114"/>
        <v>1.0001030973169129</v>
      </c>
      <c r="V184" s="160">
        <f t="shared" si="115"/>
        <v>1.43588620819891E-2</v>
      </c>
      <c r="W184" s="98" t="str">
        <f t="shared" si="106"/>
        <v>1-0.00203431193959373i</v>
      </c>
      <c r="X184" s="160">
        <f t="shared" si="116"/>
        <v>1.000002069210393</v>
      </c>
      <c r="Y184" s="160">
        <f t="shared" si="117"/>
        <v>-2.0343091333181896E-3</v>
      </c>
      <c r="Z184" s="98" t="str">
        <f t="shared" si="107"/>
        <v>0.999998514278307+0.00427349105804537i</v>
      </c>
      <c r="AA184" s="160">
        <f t="shared" si="118"/>
        <v>1.0000076456130946</v>
      </c>
      <c r="AB184" s="160">
        <f t="shared" si="119"/>
        <v>4.2734713922437818E-3</v>
      </c>
      <c r="AC184" s="171" t="str">
        <f t="shared" si="120"/>
        <v>0.219575824739509-4.02910869099489i</v>
      </c>
      <c r="AD184" s="190">
        <f t="shared" si="121"/>
        <v>12.117058935860376</v>
      </c>
      <c r="AE184" s="169">
        <f t="shared" si="122"/>
        <v>-86.880616447592388</v>
      </c>
      <c r="AF184" s="98" t="str">
        <f t="shared" si="108"/>
        <v>-0.0000673063927557778</v>
      </c>
      <c r="AG184" s="98" t="str">
        <f t="shared" si="109"/>
        <v>0.000028914991916936i</v>
      </c>
      <c r="AH184" s="98">
        <f t="shared" si="123"/>
        <v>2.8914991916936E-5</v>
      </c>
      <c r="AI184" s="98">
        <f t="shared" si="124"/>
        <v>1.5707963267948966</v>
      </c>
      <c r="AJ184" s="98" t="str">
        <f t="shared" si="110"/>
        <v>1+0.0290962375150474i</v>
      </c>
      <c r="AK184" s="98">
        <f t="shared" si="125"/>
        <v>1.0004232059671208</v>
      </c>
      <c r="AL184" s="98">
        <f t="shared" si="126"/>
        <v>2.908803081197496E-2</v>
      </c>
      <c r="AM184" s="98" t="str">
        <f t="shared" si="111"/>
        <v>1+4.30795469561025i</v>
      </c>
      <c r="AN184" s="98">
        <f t="shared" si="127"/>
        <v>4.4224963153665149</v>
      </c>
      <c r="AO184" s="98">
        <f t="shared" si="128"/>
        <v>1.342707114852431</v>
      </c>
      <c r="AP184" s="168" t="str">
        <f t="shared" si="129"/>
        <v>-9.95161684302583+2.61728801804436i</v>
      </c>
      <c r="AQ184" s="98">
        <f t="shared" si="130"/>
        <v>20.248339256292649</v>
      </c>
      <c r="AR184" s="169">
        <f t="shared" si="131"/>
        <v>165.26482940335916</v>
      </c>
      <c r="AS184" s="168" t="str">
        <f t="shared" si="132"/>
        <v>8.36020342454034+40.6708390868294i</v>
      </c>
      <c r="AT184" s="190">
        <f t="shared" si="133"/>
        <v>32.365398192153023</v>
      </c>
      <c r="AU184" s="169">
        <f t="shared" si="134"/>
        <v>78.38421295576677</v>
      </c>
      <c r="AV184" s="225"/>
      <c r="AX184">
        <f t="shared" si="135"/>
        <v>0</v>
      </c>
      <c r="AY184">
        <f t="shared" si="136"/>
        <v>0</v>
      </c>
    </row>
    <row r="185" spans="14:51" x14ac:dyDescent="0.25">
      <c r="N185" s="170">
        <v>67</v>
      </c>
      <c r="O185" s="199">
        <f t="shared" si="137"/>
        <v>467.7351412871983</v>
      </c>
      <c r="P185" s="189" t="str">
        <f t="shared" si="103"/>
        <v>87</v>
      </c>
      <c r="Q185" s="160" t="str">
        <f t="shared" si="104"/>
        <v>1+22.0414992554047i</v>
      </c>
      <c r="R185" s="160">
        <f t="shared" si="112"/>
        <v>22.064172076604322</v>
      </c>
      <c r="S185" s="160">
        <f t="shared" si="113"/>
        <v>1.5254584520789003</v>
      </c>
      <c r="T185" s="160" t="str">
        <f t="shared" si="105"/>
        <v>1+0.0146943328369365i</v>
      </c>
      <c r="U185" s="160">
        <f t="shared" si="114"/>
        <v>1.0001079558815251</v>
      </c>
      <c r="V185" s="160">
        <f t="shared" si="115"/>
        <v>1.4693275357079129E-2</v>
      </c>
      <c r="W185" s="98" t="str">
        <f t="shared" si="106"/>
        <v>1-0.00208169715189934i</v>
      </c>
      <c r="X185" s="160">
        <f t="shared" si="116"/>
        <v>1.0000021667291688</v>
      </c>
      <c r="Y185" s="160">
        <f t="shared" si="117"/>
        <v>-2.081694144921274E-3</v>
      </c>
      <c r="Z185" s="98" t="str">
        <f t="shared" si="107"/>
        <v>0.999998444258401+0.00437303345227229i</v>
      </c>
      <c r="AA185" s="160">
        <f t="shared" si="118"/>
        <v>1.0000080059383509</v>
      </c>
      <c r="AB185" s="160">
        <f t="shared" si="119"/>
        <v>4.3730123799952504E-3</v>
      </c>
      <c r="AC185" s="171" t="str">
        <f t="shared" si="120"/>
        <v>0.211174782423511-3.9377882378623i</v>
      </c>
      <c r="AD185" s="190">
        <f t="shared" si="121"/>
        <v>11.917519258750097</v>
      </c>
      <c r="AE185" s="169">
        <f t="shared" si="122"/>
        <v>-86.930295903369583</v>
      </c>
      <c r="AF185" s="98" t="str">
        <f t="shared" si="108"/>
        <v>-0.0000673063927557778</v>
      </c>
      <c r="AG185" s="98" t="str">
        <f t="shared" si="109"/>
        <v>0.0000295885086004553i</v>
      </c>
      <c r="AH185" s="98">
        <f t="shared" si="123"/>
        <v>2.9588508600455298E-5</v>
      </c>
      <c r="AI185" s="98">
        <f t="shared" si="124"/>
        <v>1.5707963267948966</v>
      </c>
      <c r="AJ185" s="98" t="str">
        <f t="shared" si="110"/>
        <v>1+0.0297739759508843i</v>
      </c>
      <c r="AK185" s="98">
        <f t="shared" si="125"/>
        <v>1.000443146632493</v>
      </c>
      <c r="AL185" s="98">
        <f t="shared" si="126"/>
        <v>2.976518252046869E-2</v>
      </c>
      <c r="AM185" s="98" t="str">
        <f t="shared" si="111"/>
        <v>1+4.40829985108093i</v>
      </c>
      <c r="AN185" s="98">
        <f t="shared" si="127"/>
        <v>4.5202995008118814</v>
      </c>
      <c r="AO185" s="98">
        <f t="shared" si="128"/>
        <v>1.3477266505066132</v>
      </c>
      <c r="AP185" s="168" t="str">
        <f t="shared" si="129"/>
        <v>-9.9512201390564+2.57103511852113i</v>
      </c>
      <c r="AQ185" s="98">
        <f t="shared" si="130"/>
        <v>20.238160748931683</v>
      </c>
      <c r="AR185" s="169">
        <f t="shared" si="131"/>
        <v>165.5136296764725</v>
      </c>
      <c r="AS185" s="168" t="str">
        <f t="shared" si="132"/>
        <v>8.02274510112971+39.7287353977116i</v>
      </c>
      <c r="AT185" s="190">
        <f t="shared" si="133"/>
        <v>32.155680007681774</v>
      </c>
      <c r="AU185" s="169">
        <f t="shared" si="134"/>
        <v>78.58333377310295</v>
      </c>
      <c r="AV185" s="225"/>
      <c r="AX185">
        <f t="shared" si="135"/>
        <v>0</v>
      </c>
      <c r="AY185">
        <f t="shared" si="136"/>
        <v>0</v>
      </c>
    </row>
    <row r="186" spans="14:51" x14ac:dyDescent="0.25">
      <c r="N186" s="170">
        <v>68</v>
      </c>
      <c r="O186" s="199">
        <f t="shared" si="137"/>
        <v>478.63009232263886</v>
      </c>
      <c r="P186" s="189" t="str">
        <f t="shared" si="103"/>
        <v>87</v>
      </c>
      <c r="Q186" s="160" t="str">
        <f t="shared" si="104"/>
        <v>1+22.5549117274171i</v>
      </c>
      <c r="R186" s="160">
        <f t="shared" si="112"/>
        <v>22.577068964583898</v>
      </c>
      <c r="S186" s="160">
        <f t="shared" si="113"/>
        <v>1.5264891022885401</v>
      </c>
      <c r="T186" s="160" t="str">
        <f t="shared" si="105"/>
        <v>1+0.015036607818278i</v>
      </c>
      <c r="U186" s="160">
        <f t="shared" si="114"/>
        <v>1.0001130433979355</v>
      </c>
      <c r="V186" s="160">
        <f t="shared" si="115"/>
        <v>1.5035474715113063E-2</v>
      </c>
      <c r="W186" s="98" t="str">
        <f t="shared" si="106"/>
        <v>1-0.00213018610758939i</v>
      </c>
      <c r="X186" s="160">
        <f t="shared" si="116"/>
        <v>1.0000022688438528</v>
      </c>
      <c r="Y186" s="160">
        <f t="shared" si="117"/>
        <v>-2.1301828855547372E-3</v>
      </c>
      <c r="Z186" s="98" t="str">
        <f t="shared" si="107"/>
        <v>0.999998370938558+0.00447489448671955i</v>
      </c>
      <c r="AA186" s="160">
        <f t="shared" si="118"/>
        <v>1.0000083832450792</v>
      </c>
      <c r="AB186" s="160">
        <f t="shared" si="119"/>
        <v>4.4748719073780148E-3</v>
      </c>
      <c r="AC186" s="171" t="str">
        <f t="shared" si="120"/>
        <v>0.203150326091857-3.84852140174991i</v>
      </c>
      <c r="AD186" s="190">
        <f t="shared" si="121"/>
        <v>11.717962578751813</v>
      </c>
      <c r="AE186" s="169">
        <f t="shared" si="122"/>
        <v>-86.978355552783228</v>
      </c>
      <c r="AF186" s="98" t="str">
        <f t="shared" si="108"/>
        <v>-0.0000673063927557778</v>
      </c>
      <c r="AG186" s="98" t="str">
        <f t="shared" si="109"/>
        <v>0.0000302777135028847i</v>
      </c>
      <c r="AH186" s="98">
        <f t="shared" si="123"/>
        <v>3.02777135028847E-5</v>
      </c>
      <c r="AI186" s="98">
        <f t="shared" si="124"/>
        <v>1.5707963267948966</v>
      </c>
      <c r="AJ186" s="98" t="str">
        <f t="shared" si="110"/>
        <v>1+0.0304675009428757i</v>
      </c>
      <c r="AK186" s="98">
        <f t="shared" si="125"/>
        <v>1.0004640266464877</v>
      </c>
      <c r="AL186" s="98">
        <f t="shared" si="126"/>
        <v>3.0458078848438874E-2</v>
      </c>
      <c r="AM186" s="98" t="str">
        <f t="shared" si="111"/>
        <v>1+4.51098234548341i</v>
      </c>
      <c r="AN186" s="98">
        <f t="shared" si="127"/>
        <v>4.6204936664022176</v>
      </c>
      <c r="AO186" s="98">
        <f t="shared" si="128"/>
        <v>1.3526429979764496</v>
      </c>
      <c r="AP186" s="168" t="str">
        <f t="shared" si="129"/>
        <v>-9.95080477290231+2.52614430327366i</v>
      </c>
      <c r="AQ186" s="98">
        <f t="shared" si="130"/>
        <v>20.228402839992544</v>
      </c>
      <c r="AR186" s="169">
        <f t="shared" si="131"/>
        <v>165.75561560188109</v>
      </c>
      <c r="AS186" s="168" t="str">
        <f t="shared" si="132"/>
        <v>7.70041118056578+38.8090721721148i</v>
      </c>
      <c r="AT186" s="190">
        <f t="shared" si="133"/>
        <v>31.94636541874435</v>
      </c>
      <c r="AU186" s="169">
        <f t="shared" si="134"/>
        <v>78.777260049097876</v>
      </c>
      <c r="AV186" s="225"/>
      <c r="AX186">
        <f t="shared" si="135"/>
        <v>0</v>
      </c>
      <c r="AY186">
        <f t="shared" si="136"/>
        <v>0</v>
      </c>
    </row>
    <row r="187" spans="14:51" x14ac:dyDescent="0.25">
      <c r="N187" s="170">
        <v>69</v>
      </c>
      <c r="O187" s="199">
        <f t="shared" si="137"/>
        <v>489.77881936844625</v>
      </c>
      <c r="P187" s="189" t="str">
        <f t="shared" si="103"/>
        <v>87</v>
      </c>
      <c r="Q187" s="160" t="str">
        <f t="shared" si="104"/>
        <v>1+23.080283112177i</v>
      </c>
      <c r="R187" s="160">
        <f t="shared" si="112"/>
        <v>23.101936467280026</v>
      </c>
      <c r="S187" s="160">
        <f t="shared" si="113"/>
        <v>1.5274963830591897</v>
      </c>
      <c r="T187" s="160" t="str">
        <f t="shared" si="105"/>
        <v>1+0.0153868554081179i</v>
      </c>
      <c r="U187" s="160">
        <f t="shared" si="114"/>
        <v>1.0001183706538692</v>
      </c>
      <c r="V187" s="160">
        <f t="shared" si="115"/>
        <v>1.5385641273962884E-2</v>
      </c>
      <c r="W187" s="98" t="str">
        <f t="shared" si="106"/>
        <v>1-0.00217980451615005i</v>
      </c>
      <c r="X187" s="160">
        <f t="shared" si="116"/>
        <v>1.0000023757710421</v>
      </c>
      <c r="Y187" s="160">
        <f t="shared" si="117"/>
        <v>-2.1798010636781598E-3</v>
      </c>
      <c r="Z187" s="98" t="str">
        <f t="shared" si="107"/>
        <v>0.999998294163258+0.0045791281694559i</v>
      </c>
      <c r="AA187" s="160">
        <f t="shared" si="118"/>
        <v>1.0000087783335796</v>
      </c>
      <c r="AB187" s="160">
        <f t="shared" si="119"/>
        <v>4.5791039752668935E-3</v>
      </c>
      <c r="AC187" s="171" t="str">
        <f t="shared" si="120"/>
        <v>0.195485639593247-3.76126312939239i</v>
      </c>
      <c r="AD187" s="190">
        <f t="shared" si="121"/>
        <v>11.518389831017512</v>
      </c>
      <c r="AE187" s="169">
        <f t="shared" si="122"/>
        <v>-87.024820393550968</v>
      </c>
      <c r="AF187" s="98" t="str">
        <f t="shared" si="108"/>
        <v>-0.0000673063927557778</v>
      </c>
      <c r="AG187" s="98" t="str">
        <f t="shared" si="109"/>
        <v>0.0000309829720497863i</v>
      </c>
      <c r="AH187" s="98">
        <f t="shared" si="123"/>
        <v>3.0982972049786301E-5</v>
      </c>
      <c r="AI187" s="98">
        <f t="shared" si="124"/>
        <v>1.5707963267948966</v>
      </c>
      <c r="AJ187" s="98" t="str">
        <f t="shared" si="110"/>
        <v>1+0.031177180207152i</v>
      </c>
      <c r="AK187" s="98">
        <f t="shared" si="125"/>
        <v>1.0004858902381728</v>
      </c>
      <c r="AL187" s="98">
        <f t="shared" si="126"/>
        <v>3.1167084515861688E-2</v>
      </c>
      <c r="AM187" s="98" t="str">
        <f t="shared" si="111"/>
        <v>1+4.61605662243538i</v>
      </c>
      <c r="AN187" s="98">
        <f t="shared" si="127"/>
        <v>4.7231323019294651</v>
      </c>
      <c r="AO187" s="98">
        <f t="shared" si="128"/>
        <v>1.3574578128997488</v>
      </c>
      <c r="AP187" s="168" t="str">
        <f t="shared" si="129"/>
        <v>-9.95036986830756+2.4825916911762i</v>
      </c>
      <c r="AQ187" s="98">
        <f t="shared" si="130"/>
        <v>20.219047659649753</v>
      </c>
      <c r="AR187" s="169">
        <f t="shared" si="131"/>
        <v>165.99086114372858</v>
      </c>
      <c r="AS187" s="168" t="str">
        <f t="shared" si="132"/>
        <v>7.39252617546147+37.9112703340807i</v>
      </c>
      <c r="AT187" s="190">
        <f t="shared" si="133"/>
        <v>31.737437490667268</v>
      </c>
      <c r="AU187" s="169">
        <f t="shared" si="134"/>
        <v>78.966040750177612</v>
      </c>
      <c r="AV187" s="225"/>
      <c r="AX187">
        <f t="shared" si="135"/>
        <v>0</v>
      </c>
      <c r="AY187">
        <f t="shared" si="136"/>
        <v>0</v>
      </c>
    </row>
    <row r="188" spans="14:51" x14ac:dyDescent="0.25">
      <c r="N188" s="170">
        <v>70</v>
      </c>
      <c r="O188" s="199">
        <f t="shared" si="137"/>
        <v>501.18723362727269</v>
      </c>
      <c r="P188" s="189" t="str">
        <f t="shared" si="103"/>
        <v>87</v>
      </c>
      <c r="Q188" s="160" t="str">
        <f t="shared" si="104"/>
        <v>1+23.6178919685465i</v>
      </c>
      <c r="R188" s="160">
        <f t="shared" si="112"/>
        <v>23.639052879460571</v>
      </c>
      <c r="S188" s="160">
        <f t="shared" si="113"/>
        <v>1.5284808202837767</v>
      </c>
      <c r="T188" s="160" t="str">
        <f t="shared" si="105"/>
        <v>1+0.0157452613123643i</v>
      </c>
      <c r="U188" s="160">
        <f t="shared" si="114"/>
        <v>1.0001239489452269</v>
      </c>
      <c r="V188" s="160">
        <f t="shared" si="115"/>
        <v>1.5743960352885944E-2</v>
      </c>
      <c r="W188" s="98" t="str">
        <f t="shared" si="106"/>
        <v>1-0.00223057868591828i</v>
      </c>
      <c r="X188" s="160">
        <f t="shared" si="116"/>
        <v>1.0000024877375426</v>
      </c>
      <c r="Y188" s="160">
        <f t="shared" si="117"/>
        <v>-2.2305749865284964E-3</v>
      </c>
      <c r="Z188" s="98" t="str">
        <f t="shared" si="107"/>
        <v>0.999998213769649+0.00468578976655962i</v>
      </c>
      <c r="AA188" s="160">
        <f t="shared" si="118"/>
        <v>1.0000091920418659</v>
      </c>
      <c r="AB188" s="160">
        <f t="shared" si="119"/>
        <v>4.6857638420317611E-3</v>
      </c>
      <c r="AC188" s="171" t="str">
        <f t="shared" si="120"/>
        <v>0.188164651944173-3.67596928146065i</v>
      </c>
      <c r="AD188" s="190">
        <f t="shared" si="121"/>
        <v>11.31880191706159</v>
      </c>
      <c r="AE188" s="169">
        <f t="shared" si="122"/>
        <v>-87.069714612471785</v>
      </c>
      <c r="AF188" s="98" t="str">
        <f t="shared" si="108"/>
        <v>-0.0000673063927557778</v>
      </c>
      <c r="AG188" s="98" t="str">
        <f t="shared" si="109"/>
        <v>0.0000317046581785768i</v>
      </c>
      <c r="AH188" s="98">
        <f t="shared" si="123"/>
        <v>3.1704658178576799E-5</v>
      </c>
      <c r="AI188" s="98">
        <f t="shared" si="124"/>
        <v>1.5707963267948966</v>
      </c>
      <c r="AJ188" s="98" t="str">
        <f t="shared" si="110"/>
        <v>1+0.0319033900250528i</v>
      </c>
      <c r="AK188" s="98">
        <f t="shared" si="125"/>
        <v>1.0005087837171098</v>
      </c>
      <c r="AL188" s="98">
        <f t="shared" si="126"/>
        <v>3.1892572594020854E-2</v>
      </c>
      <c r="AM188" s="98" t="str">
        <f t="shared" si="111"/>
        <v>1+4.72357839370929i</v>
      </c>
      <c r="AN188" s="98">
        <f t="shared" si="127"/>
        <v>4.8282701707254576</v>
      </c>
      <c r="AO188" s="98">
        <f t="shared" si="128"/>
        <v>1.3621727547923284</v>
      </c>
      <c r="AP188" s="168" t="str">
        <f t="shared" si="129"/>
        <v>-9.94991450803387+2.44035410497413i</v>
      </c>
      <c r="AQ188" s="98">
        <f t="shared" si="130"/>
        <v>20.210077958509679</v>
      </c>
      <c r="AR188" s="169">
        <f t="shared" si="131"/>
        <v>166.21944000985718</v>
      </c>
      <c r="AS188" s="168" t="str">
        <f t="shared" si="132"/>
        <v>7.09844452549283+37.0347684654752i</v>
      </c>
      <c r="AT188" s="190">
        <f t="shared" si="133"/>
        <v>31.528879875571285</v>
      </c>
      <c r="AU188" s="169">
        <f t="shared" si="134"/>
        <v>79.14972539738541</v>
      </c>
      <c r="AV188" s="225"/>
      <c r="AX188">
        <f t="shared" si="135"/>
        <v>0</v>
      </c>
      <c r="AY188">
        <f t="shared" si="136"/>
        <v>0</v>
      </c>
    </row>
    <row r="189" spans="14:51" x14ac:dyDescent="0.25">
      <c r="N189" s="170">
        <v>71</v>
      </c>
      <c r="O189" s="199">
        <f t="shared" si="137"/>
        <v>512.86138399136519</v>
      </c>
      <c r="P189" s="189" t="str">
        <f t="shared" si="103"/>
        <v>87</v>
      </c>
      <c r="Q189" s="160" t="str">
        <f t="shared" si="104"/>
        <v>1+24.1680233438575i</v>
      </c>
      <c r="R189" s="160">
        <f t="shared" si="112"/>
        <v>24.188702990223373</v>
      </c>
      <c r="S189" s="160">
        <f t="shared" si="113"/>
        <v>1.529442928287325</v>
      </c>
      <c r="T189" s="160" t="str">
        <f t="shared" si="105"/>
        <v>1+0.0161120155625716i</v>
      </c>
      <c r="U189" s="160">
        <f t="shared" si="114"/>
        <v>1.0001297901000092</v>
      </c>
      <c r="V189" s="160">
        <f t="shared" si="115"/>
        <v>1.6110621569145469E-2</v>
      </c>
      <c r="W189" s="98" t="str">
        <f t="shared" si="106"/>
        <v>1-0.00228253553803099i</v>
      </c>
      <c r="X189" s="160">
        <f t="shared" si="116"/>
        <v>1.0000026049808481</v>
      </c>
      <c r="Y189" s="160">
        <f t="shared" si="117"/>
        <v>-2.2825315740639769E-3</v>
      </c>
      <c r="Z189" s="98" t="str">
        <f t="shared" si="107"/>
        <v>0.999998129587206+0.00479493583142132i</v>
      </c>
      <c r="AA189" s="160">
        <f t="shared" si="118"/>
        <v>1.0000096252474462</v>
      </c>
      <c r="AB189" s="160">
        <f t="shared" si="119"/>
        <v>4.7949080528035303E-3</v>
      </c>
      <c r="AC189" s="171" t="str">
        <f t="shared" si="120"/>
        <v>0.181172004811114-3.59259661913486i</v>
      </c>
      <c r="AD189" s="190">
        <f t="shared" si="121"/>
        <v>11.11919970663263</v>
      </c>
      <c r="AE189" s="169">
        <f t="shared" si="122"/>
        <v>-87.113061596127238</v>
      </c>
      <c r="AF189" s="98" t="str">
        <f t="shared" si="108"/>
        <v>-0.0000673063927557778</v>
      </c>
      <c r="AG189" s="98" t="str">
        <f t="shared" si="109"/>
        <v>0.0000324431545367943i</v>
      </c>
      <c r="AH189" s="98">
        <f t="shared" si="123"/>
        <v>3.2443154536794298E-5</v>
      </c>
      <c r="AI189" s="98">
        <f t="shared" si="124"/>
        <v>1.5707963267948966</v>
      </c>
      <c r="AJ189" s="98" t="str">
        <f t="shared" si="110"/>
        <v>1+0.0326465154426362i</v>
      </c>
      <c r="AK189" s="98">
        <f t="shared" si="125"/>
        <v>1.0005327555710239</v>
      </c>
      <c r="AL189" s="98">
        <f t="shared" si="126"/>
        <v>3.2634924689765331E-2</v>
      </c>
      <c r="AM189" s="98" t="str">
        <f t="shared" si="111"/>
        <v>1+4.83360466877149i</v>
      </c>
      <c r="AN189" s="98">
        <f t="shared" si="127"/>
        <v>4.935963340014748</v>
      </c>
      <c r="AO189" s="98">
        <f t="shared" si="128"/>
        <v>1.3667894846595288</v>
      </c>
      <c r="AP189" s="168" t="str">
        <f t="shared" si="129"/>
        <v>-9.94943773195961+2.39940905859226i</v>
      </c>
      <c r="AQ189" s="98">
        <f t="shared" si="130"/>
        <v>20.201477089802381</v>
      </c>
      <c r="AR189" s="169">
        <f t="shared" si="131"/>
        <v>166.441425504401</v>
      </c>
      <c r="AS189" s="168" t="str">
        <f t="shared" si="132"/>
        <v>6.81754929117764+36.179022107638i</v>
      </c>
      <c r="AT189" s="190">
        <f t="shared" si="133"/>
        <v>31.320676796435009</v>
      </c>
      <c r="AU189" s="169">
        <f t="shared" si="134"/>
        <v>79.328363908273772</v>
      </c>
      <c r="AV189" s="225"/>
      <c r="AX189">
        <f t="shared" si="135"/>
        <v>0</v>
      </c>
      <c r="AY189">
        <f t="shared" si="136"/>
        <v>0</v>
      </c>
    </row>
    <row r="190" spans="14:51" x14ac:dyDescent="0.25">
      <c r="N190" s="170">
        <v>72</v>
      </c>
      <c r="O190" s="199">
        <f t="shared" si="137"/>
        <v>524.80746024977248</v>
      </c>
      <c r="P190" s="189" t="str">
        <f t="shared" si="103"/>
        <v>87</v>
      </c>
      <c r="Q190" s="160" t="str">
        <f t="shared" si="104"/>
        <v>1+24.7309689250471i</v>
      </c>
      <c r="R190" s="160">
        <f t="shared" si="112"/>
        <v>24.751178234008282</v>
      </c>
      <c r="S190" s="160">
        <f t="shared" si="113"/>
        <v>1.5303832100635564</v>
      </c>
      <c r="T190" s="160" t="str">
        <f t="shared" si="105"/>
        <v>1+0.0164873126166981i</v>
      </c>
      <c r="U190" s="160">
        <f t="shared" si="114"/>
        <v>1.0001359065033715</v>
      </c>
      <c r="V190" s="160">
        <f t="shared" si="115"/>
        <v>1.6485818936792847E-2</v>
      </c>
      <c r="W190" s="98" t="str">
        <f t="shared" si="106"/>
        <v>1-0.0023357026206989i</v>
      </c>
      <c r="X190" s="160">
        <f t="shared" si="116"/>
        <v>1.0000027277496459</v>
      </c>
      <c r="Y190" s="160">
        <f t="shared" si="117"/>
        <v>-2.3356983732323458E-3</v>
      </c>
      <c r="Z190" s="98" t="str">
        <f t="shared" si="107"/>
        <v>0.999998041437366+0.00490662423472934i</v>
      </c>
      <c r="AA190" s="160">
        <f t="shared" si="118"/>
        <v>1.0000100788691826</v>
      </c>
      <c r="AB190" s="160">
        <f t="shared" si="119"/>
        <v>4.9065944694201419E-3</v>
      </c>
      <c r="AC190" s="171" t="str">
        <f t="shared" si="120"/>
        <v>0.174493021367256-3.51110279050068i</v>
      </c>
      <c r="AD190" s="190">
        <f t="shared" si="121"/>
        <v>10.919584039522103</v>
      </c>
      <c r="AE190" s="169">
        <f t="shared" si="122"/>
        <v>-87.154883941311397</v>
      </c>
      <c r="AF190" s="98" t="str">
        <f t="shared" si="108"/>
        <v>-0.0000673063927557778</v>
      </c>
      <c r="AG190" s="98" t="str">
        <f t="shared" si="109"/>
        <v>0.0000331988526849831i</v>
      </c>
      <c r="AH190" s="98">
        <f t="shared" si="123"/>
        <v>3.3198852684983097E-5</v>
      </c>
      <c r="AI190" s="98">
        <f t="shared" si="124"/>
        <v>1.5707963267948966</v>
      </c>
      <c r="AJ190" s="98" t="str">
        <f t="shared" si="110"/>
        <v>1+0.0334069504748351i</v>
      </c>
      <c r="AK190" s="98">
        <f t="shared" si="125"/>
        <v>1.0005578565680389</v>
      </c>
      <c r="AL190" s="98">
        <f t="shared" si="126"/>
        <v>3.3394531133328784E-2</v>
      </c>
      <c r="AM190" s="98" t="str">
        <f t="shared" si="111"/>
        <v>1+4.94619378500941i</v>
      </c>
      <c r="AN190" s="98">
        <f t="shared" si="127"/>
        <v>5.0462692118896824</v>
      </c>
      <c r="AO190" s="98">
        <f t="shared" si="128"/>
        <v>1.37130966276931</v>
      </c>
      <c r="AP190" s="168" t="str">
        <f t="shared" si="129"/>
        <v>-9.94893853509149+2.35973474478121i</v>
      </c>
      <c r="AQ190" s="98">
        <f t="shared" si="130"/>
        <v>20.193228991417939</v>
      </c>
      <c r="AR190" s="169">
        <f t="shared" si="131"/>
        <v>166.65689038943165</v>
      </c>
      <c r="AS190" s="168" t="str">
        <f t="shared" si="132"/>
        <v>6.54925090285748+35.3435030983216i</v>
      </c>
      <c r="AT190" s="190">
        <f t="shared" si="133"/>
        <v>31.112813030940032</v>
      </c>
      <c r="AU190" s="169">
        <f t="shared" si="134"/>
        <v>79.502006448120255</v>
      </c>
      <c r="AV190" s="225"/>
      <c r="AX190">
        <f t="shared" si="135"/>
        <v>0</v>
      </c>
      <c r="AY190">
        <f t="shared" si="136"/>
        <v>0</v>
      </c>
    </row>
    <row r="191" spans="14:51" x14ac:dyDescent="0.25">
      <c r="N191" s="170">
        <v>73</v>
      </c>
      <c r="O191" s="199">
        <f t="shared" si="137"/>
        <v>537.03179637025301</v>
      </c>
      <c r="P191" s="189" t="str">
        <f t="shared" si="103"/>
        <v>87</v>
      </c>
      <c r="Q191" s="160" t="str">
        <f t="shared" si="104"/>
        <v>1+25.3070271933138i</v>
      </c>
      <c r="R191" s="160">
        <f t="shared" si="112"/>
        <v>25.326776845132194</v>
      </c>
      <c r="S191" s="160">
        <f t="shared" si="113"/>
        <v>1.5313021575078745</v>
      </c>
      <c r="T191" s="160" t="str">
        <f t="shared" si="105"/>
        <v>1+0.0168713514622091i</v>
      </c>
      <c r="U191" s="160">
        <f t="shared" si="114"/>
        <v>1.0001423111238528</v>
      </c>
      <c r="V191" s="160">
        <f t="shared" si="115"/>
        <v>1.6869750967654373E-2</v>
      </c>
      <c r="W191" s="98" t="str">
        <f t="shared" si="106"/>
        <v>1-0.00239010812381297i</v>
      </c>
      <c r="X191" s="160">
        <f t="shared" si="116"/>
        <v>1.0000028563043426</v>
      </c>
      <c r="Y191" s="160">
        <f t="shared" si="117"/>
        <v>-2.390103572571261E-3</v>
      </c>
      <c r="Z191" s="98" t="str">
        <f t="shared" si="107"/>
        <v>0.999997949133153+0.00502091419515344i</v>
      </c>
      <c r="AA191" s="160">
        <f t="shared" si="118"/>
        <v>1.0000105538692414</v>
      </c>
      <c r="AB191" s="160">
        <f t="shared" si="119"/>
        <v>5.0208823010679969E-3</v>
      </c>
      <c r="AC191" s="171" t="str">
        <f t="shared" si="120"/>
        <v>0.168113676469589-3.43144631680324i</v>
      </c>
      <c r="AD191" s="190">
        <f t="shared" si="121"/>
        <v>10.719955727311721</v>
      </c>
      <c r="AE191" s="169">
        <f t="shared" si="122"/>
        <v>-87.195203465185699</v>
      </c>
      <c r="AF191" s="98" t="str">
        <f t="shared" si="108"/>
        <v>-0.0000673063927557778</v>
      </c>
      <c r="AG191" s="98" t="str">
        <f t="shared" si="109"/>
        <v>0.0000339721533043044i</v>
      </c>
      <c r="AH191" s="98">
        <f t="shared" si="123"/>
        <v>3.3972153304304397E-5</v>
      </c>
      <c r="AI191" s="98">
        <f t="shared" si="124"/>
        <v>1.5707963267948966</v>
      </c>
      <c r="AJ191" s="98" t="str">
        <f t="shared" si="110"/>
        <v>1+0.0341850983143689i</v>
      </c>
      <c r="AK191" s="98">
        <f t="shared" si="125"/>
        <v>1.0005841398636914</v>
      </c>
      <c r="AL191" s="98">
        <f t="shared" si="126"/>
        <v>3.4171791169742477E-2</v>
      </c>
      <c r="AM191" s="98" t="str">
        <f t="shared" si="111"/>
        <v>1+5.06140543866274i</v>
      </c>
      <c r="AN191" s="98">
        <f t="shared" si="127"/>
        <v>5.1592465549268685</v>
      </c>
      <c r="AO191" s="98">
        <f t="shared" si="128"/>
        <v>1.3757349465804083</v>
      </c>
      <c r="AP191" s="168" t="str">
        <f t="shared" si="129"/>
        <v>-9.94841586548652+2.32131002309303i</v>
      </c>
      <c r="AQ191" s="98">
        <f t="shared" si="130"/>
        <v>20.185318167851062</v>
      </c>
      <c r="AR191" s="169">
        <f t="shared" si="131"/>
        <v>166.86590675528447</v>
      </c>
      <c r="AS191" s="168" t="str">
        <f t="shared" si="132"/>
        <v>6.29298596270569+34.5276989418585i</v>
      </c>
      <c r="AT191" s="190">
        <f t="shared" si="133"/>
        <v>30.905273895162782</v>
      </c>
      <c r="AU191" s="169">
        <f t="shared" si="134"/>
        <v>79.670703290098771</v>
      </c>
      <c r="AV191" s="225"/>
      <c r="AX191">
        <f t="shared" si="135"/>
        <v>0</v>
      </c>
      <c r="AY191">
        <f t="shared" si="136"/>
        <v>0</v>
      </c>
    </row>
    <row r="192" spans="14:51" x14ac:dyDescent="0.25">
      <c r="N192" s="170">
        <v>74</v>
      </c>
      <c r="O192" s="199">
        <f t="shared" si="137"/>
        <v>549.54087385762534</v>
      </c>
      <c r="P192" s="189" t="str">
        <f t="shared" si="103"/>
        <v>87</v>
      </c>
      <c r="Q192" s="160" t="str">
        <f t="shared" si="104"/>
        <v>1+25.8965035823765i</v>
      </c>
      <c r="R192" s="160">
        <f t="shared" si="112"/>
        <v>25.915804015928945</v>
      </c>
      <c r="S192" s="160">
        <f t="shared" si="113"/>
        <v>1.5322002516466899</v>
      </c>
      <c r="T192" s="160" t="str">
        <f t="shared" si="105"/>
        <v>1+0.0172643357215843i</v>
      </c>
      <c r="U192" s="160">
        <f t="shared" si="114"/>
        <v>1.0001490175408401</v>
      </c>
      <c r="V192" s="160">
        <f t="shared" si="115"/>
        <v>1.7262620774571094E-2</v>
      </c>
      <c r="W192" s="98" t="str">
        <f t="shared" si="106"/>
        <v>1-0.00244578089389111i</v>
      </c>
      <c r="X192" s="160">
        <f t="shared" si="116"/>
        <v>1.0000029909176176</v>
      </c>
      <c r="Y192" s="160">
        <f t="shared" si="117"/>
        <v>-2.4457760171485436E-3</v>
      </c>
      <c r="Z192" s="98" t="str">
        <f t="shared" si="107"/>
        <v>0.999997852478777+0.00513786631074349i</v>
      </c>
      <c r="AA192" s="160">
        <f t="shared" si="118"/>
        <v>1.0000110512551312</v>
      </c>
      <c r="AB192" s="160">
        <f t="shared" si="119"/>
        <v>5.1378321356353946E-3</v>
      </c>
      <c r="AC192" s="171" t="str">
        <f t="shared" si="120"/>
        <v>0.162020568104025-3.35358657859201i</v>
      </c>
      <c r="AD192" s="190">
        <f t="shared" si="121"/>
        <v>10.520315555064519</v>
      </c>
      <c r="AE192" s="169">
        <f t="shared" si="122"/>
        <v>-87.234041215155742</v>
      </c>
      <c r="AF192" s="98" t="str">
        <f t="shared" si="108"/>
        <v>-0.0000673063927557778</v>
      </c>
      <c r="AG192" s="98" t="str">
        <f t="shared" si="109"/>
        <v>0.0000347634664089822i</v>
      </c>
      <c r="AH192" s="98">
        <f t="shared" si="123"/>
        <v>3.4763466408982202E-5</v>
      </c>
      <c r="AI192" s="98">
        <f t="shared" si="124"/>
        <v>1.5707963267948966</v>
      </c>
      <c r="AJ192" s="98" t="str">
        <f t="shared" si="110"/>
        <v>1+0.0349813715455224i</v>
      </c>
      <c r="AK192" s="98">
        <f t="shared" si="125"/>
        <v>1.0006116611129443</v>
      </c>
      <c r="AL192" s="98">
        <f t="shared" si="126"/>
        <v>3.4967113153870931E-2</v>
      </c>
      <c r="AM192" s="98" t="str">
        <f t="shared" si="111"/>
        <v>1+5.17930071647529i</v>
      </c>
      <c r="AN192" s="98">
        <f t="shared" si="127"/>
        <v>5.2749555364648772</v>
      </c>
      <c r="AO192" s="98">
        <f t="shared" si="128"/>
        <v>1.3800669888190156</v>
      </c>
      <c r="AP192" s="168" t="str">
        <f t="shared" si="129"/>
        <v>-9.94786862207916+2.28411440817792i</v>
      </c>
      <c r="AQ192" s="98">
        <f t="shared" si="130"/>
        <v>20.177729672109624</v>
      </c>
      <c r="AR192" s="169">
        <f t="shared" si="131"/>
        <v>167.06854589918458</v>
      </c>
      <c r="AS192" s="168" t="str">
        <f t="shared" si="132"/>
        <v>6.04821609766064+33.7311122106288i</v>
      </c>
      <c r="AT192" s="190">
        <f t="shared" si="133"/>
        <v>30.698045227174138</v>
      </c>
      <c r="AU192" s="169">
        <f t="shared" si="134"/>
        <v>79.834504684028829</v>
      </c>
      <c r="AV192" s="225"/>
      <c r="AX192">
        <f t="shared" si="135"/>
        <v>0</v>
      </c>
      <c r="AY192">
        <f t="shared" si="136"/>
        <v>0</v>
      </c>
    </row>
    <row r="193" spans="14:51" x14ac:dyDescent="0.25">
      <c r="N193" s="170">
        <v>75</v>
      </c>
      <c r="O193" s="199">
        <f t="shared" si="137"/>
        <v>562.34132519034927</v>
      </c>
      <c r="P193" s="189" t="str">
        <f t="shared" si="103"/>
        <v>87</v>
      </c>
      <c r="Q193" s="160" t="str">
        <f t="shared" si="104"/>
        <v>1+26.4997106404193i</v>
      </c>
      <c r="R193" s="160">
        <f t="shared" si="112"/>
        <v>26.518572058577202</v>
      </c>
      <c r="S193" s="160">
        <f t="shared" si="113"/>
        <v>1.5330779628630686</v>
      </c>
      <c r="T193" s="160" t="str">
        <f t="shared" si="105"/>
        <v>1+0.0176664737602795i</v>
      </c>
      <c r="U193" s="160">
        <f t="shared" si="114"/>
        <v>1.0001560399733247</v>
      </c>
      <c r="V193" s="160">
        <f t="shared" si="115"/>
        <v>1.7664636176931071E-2</v>
      </c>
      <c r="W193" s="98" t="str">
        <f t="shared" si="106"/>
        <v>1-0.00250275044937293i</v>
      </c>
      <c r="X193" s="160">
        <f t="shared" si="116"/>
        <v>1.0000031318750016</v>
      </c>
      <c r="Y193" s="160">
        <f t="shared" si="117"/>
        <v>-2.5027452238500078E-3</v>
      </c>
      <c r="Z193" s="98" t="str">
        <f t="shared" si="107"/>
        <v>0.999997751269219+0.00525754259105918i</v>
      </c>
      <c r="AA193" s="160">
        <f t="shared" si="118"/>
        <v>1.0000115720818392</v>
      </c>
      <c r="AB193" s="160">
        <f t="shared" si="119"/>
        <v>5.2575059717937496E-3</v>
      </c>
      <c r="AC193" s="171" t="str">
        <f t="shared" si="120"/>
        <v>0.156200890047901-3.27748380178592i</v>
      </c>
      <c r="AD193" s="190">
        <f t="shared" si="121"/>
        <v>10.320664282961644</v>
      </c>
      <c r="AE193" s="169">
        <f t="shared" si="122"/>
        <v>-87.271417478467257</v>
      </c>
      <c r="AF193" s="98" t="str">
        <f t="shared" si="108"/>
        <v>-0.0000673063927557778</v>
      </c>
      <c r="AG193" s="98" t="str">
        <f t="shared" si="109"/>
        <v>0.0000355732115636988i</v>
      </c>
      <c r="AH193" s="98">
        <f t="shared" si="123"/>
        <v>3.5573211563698797E-5</v>
      </c>
      <c r="AI193" s="98">
        <f t="shared" si="124"/>
        <v>1.5707963267948966</v>
      </c>
      <c r="AJ193" s="98" t="str">
        <f t="shared" si="110"/>
        <v>1+0.0357961923629024i</v>
      </c>
      <c r="AK193" s="98">
        <f t="shared" si="125"/>
        <v>1.0006404785874305</v>
      </c>
      <c r="AL193" s="98">
        <f t="shared" si="126"/>
        <v>3.5780914749092778E-2</v>
      </c>
      <c r="AM193" s="98" t="str">
        <f t="shared" si="111"/>
        <v>1+5.29994212808385i</v>
      </c>
      <c r="AN193" s="98">
        <f t="shared" si="127"/>
        <v>5.3934577555625633</v>
      </c>
      <c r="AO193" s="98">
        <f t="shared" si="128"/>
        <v>1.3843074356974168</v>
      </c>
      <c r="AP193" s="168" t="str">
        <f t="shared" si="129"/>
        <v>-9.94729565240943+2.24812805839303i</v>
      </c>
      <c r="AQ193" s="98">
        <f t="shared" si="130"/>
        <v>20.170449087637778</v>
      </c>
      <c r="AR193" s="169">
        <f t="shared" si="131"/>
        <v>167.26487821179916</v>
      </c>
      <c r="AS193" s="168" t="str">
        <f t="shared" si="132"/>
        <v>5.81442686124762+32.9532599760101i</v>
      </c>
      <c r="AT193" s="190">
        <f t="shared" si="133"/>
        <v>30.491113370599436</v>
      </c>
      <c r="AU193" s="169">
        <f t="shared" si="134"/>
        <v>79.993460733331901</v>
      </c>
      <c r="AV193" s="225"/>
      <c r="AX193">
        <f t="shared" si="135"/>
        <v>0</v>
      </c>
      <c r="AY193">
        <f t="shared" si="136"/>
        <v>0</v>
      </c>
    </row>
    <row r="194" spans="14:51" x14ac:dyDescent="0.25">
      <c r="N194" s="170">
        <v>76</v>
      </c>
      <c r="O194" s="199">
        <f t="shared" si="137"/>
        <v>575.43993733715706</v>
      </c>
      <c r="P194" s="189" t="str">
        <f t="shared" si="103"/>
        <v>87</v>
      </c>
      <c r="Q194" s="160" t="str">
        <f t="shared" si="104"/>
        <v>1+27.1169681958088i</v>
      </c>
      <c r="R194" s="160">
        <f t="shared" si="112"/>
        <v>27.135400570702945</v>
      </c>
      <c r="S194" s="160">
        <f t="shared" si="113"/>
        <v>1.5339357511186804</v>
      </c>
      <c r="T194" s="160" t="str">
        <f t="shared" si="105"/>
        <v>1+0.0180779787972058i</v>
      </c>
      <c r="U194" s="160">
        <f t="shared" si="114"/>
        <v>1.0001633933100091</v>
      </c>
      <c r="V194" s="160">
        <f t="shared" si="115"/>
        <v>1.8076009808545589E-2</v>
      </c>
      <c r="W194" s="98" t="str">
        <f t="shared" si="106"/>
        <v>1-0.00256104699627083i</v>
      </c>
      <c r="X194" s="160">
        <f t="shared" si="116"/>
        <v>1.000003279475481</v>
      </c>
      <c r="Y194" s="160">
        <f t="shared" si="117"/>
        <v>-2.5610413970231305E-3</v>
      </c>
      <c r="Z194" s="98" t="str">
        <f t="shared" si="107"/>
        <v>0.999997645289803+0.00538000649004846i</v>
      </c>
      <c r="AA194" s="160">
        <f t="shared" si="118"/>
        <v>1.0000121174540755</v>
      </c>
      <c r="AB194" s="160">
        <f t="shared" si="119"/>
        <v>5.379967251824015E-3</v>
      </c>
      <c r="AC194" s="171" t="str">
        <f t="shared" si="120"/>
        <v>0.15064240570098-3.20309904368661i</v>
      </c>
      <c r="AD194" s="190">
        <f t="shared" si="121"/>
        <v>10.121002647889162</v>
      </c>
      <c r="AE194" s="169">
        <f t="shared" si="122"/>
        <v>-87.307351791519309</v>
      </c>
      <c r="AF194" s="98" t="str">
        <f t="shared" si="108"/>
        <v>-0.0000673063927557778</v>
      </c>
      <c r="AG194" s="98" t="str">
        <f t="shared" si="109"/>
        <v>0.0000364018181060537i</v>
      </c>
      <c r="AH194" s="98">
        <f t="shared" si="123"/>
        <v>3.6401818106053699E-5</v>
      </c>
      <c r="AI194" s="98">
        <f t="shared" si="124"/>
        <v>1.5707963267948966</v>
      </c>
      <c r="AJ194" s="98" t="str">
        <f t="shared" si="110"/>
        <v>1+0.0366299927952919i</v>
      </c>
      <c r="AK194" s="98">
        <f t="shared" si="125"/>
        <v>1.0006706532981684</v>
      </c>
      <c r="AL194" s="98">
        <f t="shared" si="126"/>
        <v>3.6613623129652328E-2</v>
      </c>
      <c r="AM194" s="98" t="str">
        <f t="shared" si="111"/>
        <v>1+5.42339363916175i</v>
      </c>
      <c r="AN194" s="98">
        <f t="shared" si="127"/>
        <v>5.5148162766587365</v>
      </c>
      <c r="AO194" s="98">
        <f t="shared" si="128"/>
        <v>1.3884579252680993</v>
      </c>
      <c r="AP194" s="168" t="str">
        <f t="shared" si="129"/>
        <v>-9.94669575024899+2.21333176471528i</v>
      </c>
      <c r="AQ194" s="98">
        <f t="shared" si="130"/>
        <v>20.163462510299915</v>
      </c>
      <c r="AR194" s="169">
        <f t="shared" si="131"/>
        <v>167.45497307134102</v>
      </c>
      <c r="AS194" s="168" t="str">
        <f t="shared" si="132"/>
        <v>5.59112668232749+32.1936732671153i</v>
      </c>
      <c r="AT194" s="190">
        <f t="shared" si="133"/>
        <v>30.284465158189068</v>
      </c>
      <c r="AU194" s="169">
        <f t="shared" si="134"/>
        <v>80.14762127982172</v>
      </c>
      <c r="AV194" s="225"/>
      <c r="AX194">
        <f t="shared" si="135"/>
        <v>0</v>
      </c>
      <c r="AY194">
        <f t="shared" si="136"/>
        <v>0</v>
      </c>
    </row>
    <row r="195" spans="14:51" x14ac:dyDescent="0.25">
      <c r="N195" s="170">
        <v>77</v>
      </c>
      <c r="O195" s="199">
        <f t="shared" si="137"/>
        <v>588.84365535558959</v>
      </c>
      <c r="P195" s="189" t="str">
        <f t="shared" si="103"/>
        <v>87</v>
      </c>
      <c r="Q195" s="160" t="str">
        <f t="shared" si="104"/>
        <v>1+27.7486035266713i</v>
      </c>
      <c r="R195" s="160">
        <f t="shared" si="112"/>
        <v>27.766616604843936</v>
      </c>
      <c r="S195" s="160">
        <f t="shared" si="113"/>
        <v>1.534774066172041</v>
      </c>
      <c r="T195" s="160" t="str">
        <f t="shared" si="105"/>
        <v>1+0.0184990690177808i</v>
      </c>
      <c r="U195" s="160">
        <f t="shared" si="114"/>
        <v>1.0001710931408307</v>
      </c>
      <c r="V195" s="160">
        <f t="shared" si="115"/>
        <v>1.8496959227911572E-2</v>
      </c>
      <c r="W195" s="98" t="str">
        <f t="shared" si="106"/>
        <v>1-0.00262070144418562i</v>
      </c>
      <c r="X195" s="160">
        <f t="shared" si="116"/>
        <v>1.0000034340321335</v>
      </c>
      <c r="Y195" s="160">
        <f t="shared" si="117"/>
        <v>-2.6206954444847278E-3</v>
      </c>
      <c r="Z195" s="98" t="str">
        <f t="shared" si="107"/>
        <v>0.99999753431573+0.00550532293969157i</v>
      </c>
      <c r="AA195" s="160">
        <f t="shared" si="118"/>
        <v>1.0000126885286056</v>
      </c>
      <c r="AB195" s="160">
        <f t="shared" si="119"/>
        <v>5.5052808952050867E-3</v>
      </c>
      <c r="AC195" s="171" t="str">
        <f t="shared" si="120"/>
        <v>0.145333423037731-3.13039417896463i</v>
      </c>
      <c r="AD195" s="190">
        <f t="shared" si="121"/>
        <v>9.921331364977009</v>
      </c>
      <c r="AE195" s="169">
        <f t="shared" si="122"/>
        <v>-87.341862948892583</v>
      </c>
      <c r="AF195" s="98" t="str">
        <f t="shared" si="108"/>
        <v>-0.0000673063927557778</v>
      </c>
      <c r="AG195" s="98" t="str">
        <f t="shared" si="109"/>
        <v>0.0000372497253742034i</v>
      </c>
      <c r="AH195" s="98">
        <f t="shared" si="123"/>
        <v>3.72497253742034E-5</v>
      </c>
      <c r="AI195" s="98">
        <f t="shared" si="124"/>
        <v>1.5707963267948966</v>
      </c>
      <c r="AJ195" s="98" t="str">
        <f t="shared" si="110"/>
        <v>1+0.0374832149347167i</v>
      </c>
      <c r="AK195" s="98">
        <f t="shared" si="125"/>
        <v>1.000702249124005</v>
      </c>
      <c r="AL195" s="98">
        <f t="shared" si="126"/>
        <v>3.746567518669576E-2</v>
      </c>
      <c r="AM195" s="98" t="str">
        <f t="shared" si="111"/>
        <v>1+5.54972070533424i</v>
      </c>
      <c r="AN195" s="98">
        <f t="shared" si="127"/>
        <v>5.6390956639531815</v>
      </c>
      <c r="AO195" s="98">
        <f t="shared" si="128"/>
        <v>1.3925200859068878</v>
      </c>
      <c r="AP195" s="168" t="str">
        <f t="shared" si="129"/>
        <v>-9.9460676531193+2.1797069399495i</v>
      </c>
      <c r="AQ195" s="98">
        <f t="shared" si="130"/>
        <v>20.156756530464392</v>
      </c>
      <c r="AR195" s="169">
        <f t="shared" si="131"/>
        <v>167.63889874485383</v>
      </c>
      <c r="AS195" s="168" t="str">
        <f t="shared" si="132"/>
        <v>5.37784585887404+31.451896555715i</v>
      </c>
      <c r="AT195" s="190">
        <f t="shared" si="133"/>
        <v>30.078087895441392</v>
      </c>
      <c r="AU195" s="169">
        <f t="shared" si="134"/>
        <v>80.29703579596125</v>
      </c>
      <c r="AV195" s="225"/>
      <c r="AX195">
        <f t="shared" si="135"/>
        <v>0</v>
      </c>
      <c r="AY195">
        <f t="shared" si="136"/>
        <v>0</v>
      </c>
    </row>
    <row r="196" spans="14:51" x14ac:dyDescent="0.25">
      <c r="N196" s="170">
        <v>78</v>
      </c>
      <c r="O196" s="199">
        <f t="shared" si="137"/>
        <v>602.55958607435832</v>
      </c>
      <c r="P196" s="189" t="str">
        <f t="shared" si="103"/>
        <v>87</v>
      </c>
      <c r="Q196" s="160" t="str">
        <f t="shared" si="104"/>
        <v>1+28.3949515344197i</v>
      </c>
      <c r="R196" s="160">
        <f t="shared" si="112"/>
        <v>28.412554841866015</v>
      </c>
      <c r="S196" s="160">
        <f t="shared" si="113"/>
        <v>1.535593347793041</v>
      </c>
      <c r="T196" s="160" t="str">
        <f t="shared" si="105"/>
        <v>1+0.0189299676896131i</v>
      </c>
      <c r="U196" s="160">
        <f t="shared" si="114"/>
        <v>1.0001791557899664</v>
      </c>
      <c r="V196" s="160">
        <f t="shared" si="115"/>
        <v>1.8927707030908094E-2</v>
      </c>
      <c r="W196" s="98" t="str">
        <f t="shared" si="106"/>
        <v>1-0.00268174542269519i</v>
      </c>
      <c r="X196" s="160">
        <f t="shared" si="116"/>
        <v>1.0000035958727909</v>
      </c>
      <c r="Y196" s="160">
        <f t="shared" si="117"/>
        <v>-2.6817389939011072E-3</v>
      </c>
      <c r="Z196" s="98" t="str">
        <f t="shared" si="107"/>
        <v>0.99999741811161+0.00563355838442886i</v>
      </c>
      <c r="AA196" s="160">
        <f t="shared" si="118"/>
        <v>1.0000132865167126</v>
      </c>
      <c r="AB196" s="160">
        <f t="shared" si="119"/>
        <v>5.6335133329819057E-3</v>
      </c>
      <c r="AC196" s="171" t="str">
        <f t="shared" si="120"/>
        <v>0.140262770635354-3.05933188564219i</v>
      </c>
      <c r="AD196" s="190">
        <f t="shared" si="121"/>
        <v>9.7216511290945231</v>
      </c>
      <c r="AE196" s="169">
        <f t="shared" si="122"/>
        <v>-87.374969012091626</v>
      </c>
      <c r="AF196" s="98" t="str">
        <f t="shared" si="108"/>
        <v>-0.0000673063927557778</v>
      </c>
      <c r="AG196" s="98" t="str">
        <f t="shared" si="109"/>
        <v>0.0000381173829398049i</v>
      </c>
      <c r="AH196" s="98">
        <f t="shared" si="123"/>
        <v>3.8117382939804901E-5</v>
      </c>
      <c r="AI196" s="98">
        <f t="shared" si="124"/>
        <v>1.5707963267948966</v>
      </c>
      <c r="AJ196" s="98" t="str">
        <f t="shared" si="110"/>
        <v>1+0.0383563111708489i</v>
      </c>
      <c r="AK196" s="98">
        <f t="shared" si="125"/>
        <v>1.0007353329460467</v>
      </c>
      <c r="AL196" s="98">
        <f t="shared" si="126"/>
        <v>3.8337517738008323E-2</v>
      </c>
      <c r="AM196" s="98" t="str">
        <f t="shared" si="111"/>
        <v>1+5.67899030688393i</v>
      </c>
      <c r="AN196" s="98">
        <f t="shared" si="127"/>
        <v>5.7663620165301479</v>
      </c>
      <c r="AO196" s="98">
        <f t="shared" si="128"/>
        <v>1.3964955349187846</v>
      </c>
      <c r="AP196" s="168" t="str">
        <f t="shared" si="129"/>
        <v>-9.94541003969801+2.14723560822344i</v>
      </c>
      <c r="AQ196" s="98">
        <f t="shared" si="130"/>
        <v>20.150318215222896</v>
      </c>
      <c r="AR196" s="169">
        <f t="shared" si="131"/>
        <v>167.81672229631485</v>
      </c>
      <c r="AS196" s="168" t="str">
        <f t="shared" si="132"/>
        <v>5.17413559495156+30.7274872658504i</v>
      </c>
      <c r="AT196" s="190">
        <f t="shared" si="133"/>
        <v>29.871969344317428</v>
      </c>
      <c r="AU196" s="169">
        <f t="shared" si="134"/>
        <v>80.441753284223253</v>
      </c>
      <c r="AV196" s="225"/>
      <c r="AX196">
        <f t="shared" si="135"/>
        <v>0</v>
      </c>
      <c r="AY196">
        <f t="shared" si="136"/>
        <v>0</v>
      </c>
    </row>
    <row r="197" spans="14:51" x14ac:dyDescent="0.25">
      <c r="N197" s="170">
        <v>79</v>
      </c>
      <c r="O197" s="199">
        <f t="shared" si="137"/>
        <v>616.59500186148273</v>
      </c>
      <c r="P197" s="189" t="str">
        <f t="shared" si="103"/>
        <v>87</v>
      </c>
      <c r="Q197" s="160" t="str">
        <f t="shared" si="104"/>
        <v>1+29.0563549213234i</v>
      </c>
      <c r="R197" s="160">
        <f t="shared" si="112"/>
        <v>29.073557768424468</v>
      </c>
      <c r="S197" s="160">
        <f t="shared" si="113"/>
        <v>1.5363940259737667</v>
      </c>
      <c r="T197" s="160" t="str">
        <f t="shared" si="105"/>
        <v>1+0.0193709032808822i</v>
      </c>
      <c r="U197" s="160">
        <f t="shared" si="114"/>
        <v>1.0001875983503881</v>
      </c>
      <c r="V197" s="160">
        <f t="shared" si="115"/>
        <v>1.9368480965975047E-2</v>
      </c>
      <c r="W197" s="98" t="str">
        <f t="shared" si="106"/>
        <v>1-0.00274421129812498i</v>
      </c>
      <c r="X197" s="160">
        <f t="shared" si="116"/>
        <v>1.0000037653407354</v>
      </c>
      <c r="Y197" s="160">
        <f t="shared" si="117"/>
        <v>-2.7442044095494114E-3</v>
      </c>
      <c r="Z197" s="98" t="str">
        <f t="shared" si="107"/>
        <v>0.999997296430959+0.00576478081639054i</v>
      </c>
      <c r="AA197" s="160">
        <f t="shared" si="118"/>
        <v>1.0000139126867629</v>
      </c>
      <c r="AB197" s="160">
        <f t="shared" si="119"/>
        <v>5.7647325429312926E-3</v>
      </c>
      <c r="AC197" s="171" t="str">
        <f t="shared" si="120"/>
        <v>0.135419774733591-2.98987563109285i</v>
      </c>
      <c r="AD197" s="190">
        <f t="shared" si="121"/>
        <v>9.521962616303524</v>
      </c>
      <c r="AE197" s="169">
        <f t="shared" si="122"/>
        <v>-87.406687318000039</v>
      </c>
      <c r="AF197" s="98" t="str">
        <f t="shared" si="108"/>
        <v>-0.0000673063927557778</v>
      </c>
      <c r="AG197" s="98" t="str">
        <f t="shared" si="109"/>
        <v>0.0000390052508463844i</v>
      </c>
      <c r="AH197" s="98">
        <f t="shared" si="123"/>
        <v>3.9005250846384398E-5</v>
      </c>
      <c r="AI197" s="98">
        <f t="shared" si="124"/>
        <v>1.5707963267948966</v>
      </c>
      <c r="AJ197" s="98" t="str">
        <f t="shared" si="110"/>
        <v>1+0.0392497444308698i</v>
      </c>
      <c r="AK197" s="98">
        <f t="shared" si="125"/>
        <v>1.0007699747883569</v>
      </c>
      <c r="AL197" s="98">
        <f t="shared" si="126"/>
        <v>3.9229607741459442E-2</v>
      </c>
      <c r="AM197" s="98" t="str">
        <f t="shared" si="111"/>
        <v>1+5.81127098426466i</v>
      </c>
      <c r="AN197" s="98">
        <f t="shared" si="127"/>
        <v>5.8966830042453831</v>
      </c>
      <c r="AO197" s="98">
        <f t="shared" si="128"/>
        <v>1.4003858772603013</v>
      </c>
      <c r="AP197" s="168" t="str">
        <f t="shared" si="129"/>
        <v>-9.94472152710858+2.11590039476093i</v>
      </c>
      <c r="AQ197" s="98">
        <f t="shared" si="130"/>
        <v>20.144135090775954</v>
      </c>
      <c r="AR197" s="169">
        <f t="shared" si="131"/>
        <v>167.98850950120118</v>
      </c>
      <c r="AS197" s="168" t="str">
        <f t="shared" si="132"/>
        <v>4.97956707912611+30.0200153067237i</v>
      </c>
      <c r="AT197" s="190">
        <f t="shared" si="133"/>
        <v>29.666097707079491</v>
      </c>
      <c r="AU197" s="169">
        <f t="shared" si="134"/>
        <v>80.581822183201169</v>
      </c>
      <c r="AV197" s="225"/>
      <c r="AX197">
        <f t="shared" si="135"/>
        <v>0</v>
      </c>
      <c r="AY197">
        <f t="shared" si="136"/>
        <v>0</v>
      </c>
    </row>
    <row r="198" spans="14:51" x14ac:dyDescent="0.25">
      <c r="N198" s="170">
        <v>80</v>
      </c>
      <c r="O198" s="199">
        <f t="shared" si="137"/>
        <v>630.95734448019323</v>
      </c>
      <c r="P198" s="189" t="str">
        <f t="shared" si="103"/>
        <v>87</v>
      </c>
      <c r="Q198" s="160" t="str">
        <f t="shared" si="104"/>
        <v>1+29.7331643722126i</v>
      </c>
      <c r="R198" s="160">
        <f t="shared" si="112"/>
        <v>29.74997585856185</v>
      </c>
      <c r="S198" s="160">
        <f t="shared" si="113"/>
        <v>1.5371765211356161</v>
      </c>
      <c r="T198" s="160" t="str">
        <f t="shared" si="105"/>
        <v>1+0.019822109581475i</v>
      </c>
      <c r="U198" s="160">
        <f t="shared" si="114"/>
        <v>1.0001964387200446</v>
      </c>
      <c r="V198" s="160">
        <f t="shared" si="115"/>
        <v>1.9819514051819823E-2</v>
      </c>
      <c r="W198" s="98" t="str">
        <f t="shared" si="106"/>
        <v>1-0.00280813219070896i</v>
      </c>
      <c r="X198" s="160">
        <f t="shared" si="116"/>
        <v>1.0000039427954275</v>
      </c>
      <c r="Y198" s="160">
        <f t="shared" si="117"/>
        <v>-2.8081248094688244E-3</v>
      </c>
      <c r="Z198" s="98" t="str">
        <f t="shared" si="107"/>
        <v>0.999997169015676+0.00589905981144696i</v>
      </c>
      <c r="AA198" s="160">
        <f t="shared" si="118"/>
        <v>1.0000145683668942</v>
      </c>
      <c r="AB198" s="160">
        <f t="shared" si="119"/>
        <v>5.8990080855437161E-3</v>
      </c>
      <c r="AC198" s="171" t="str">
        <f t="shared" si="120"/>
        <v>0.130794237284033-2.92198965807841i</v>
      </c>
      <c r="AD198" s="190">
        <f t="shared" si="121"/>
        <v>9.3222664852744739</v>
      </c>
      <c r="AE198" s="169">
        <f t="shared" si="122"/>
        <v>-87.437034487047427</v>
      </c>
      <c r="AF198" s="98" t="str">
        <f t="shared" si="108"/>
        <v>-0.0000673063927557778</v>
      </c>
      <c r="AG198" s="98" t="str">
        <f t="shared" si="109"/>
        <v>0.000039913799853258i</v>
      </c>
      <c r="AH198" s="98">
        <f t="shared" si="123"/>
        <v>3.9913799853257997E-5</v>
      </c>
      <c r="AI198" s="98">
        <f t="shared" si="124"/>
        <v>1.5707963267948966</v>
      </c>
      <c r="AJ198" s="98" t="str">
        <f t="shared" si="110"/>
        <v>1+0.0401639884249195i</v>
      </c>
      <c r="AK198" s="98">
        <f t="shared" si="125"/>
        <v>1.0008062479652078</v>
      </c>
      <c r="AL198" s="98">
        <f t="shared" si="126"/>
        <v>4.014241251215931E-2</v>
      </c>
      <c r="AM198" s="98" t="str">
        <f t="shared" si="111"/>
        <v>1+5.9466328744425i</v>
      </c>
      <c r="AN198" s="98">
        <f t="shared" si="127"/>
        <v>6.0301279043980704</v>
      </c>
      <c r="AO198" s="98">
        <f t="shared" si="128"/>
        <v>1.4041927043722147</v>
      </c>
      <c r="AP198" s="168" t="str">
        <f t="shared" si="129"/>
        <v>-9.9440006680885+2.08568451592475i</v>
      </c>
      <c r="AQ198" s="98">
        <f t="shared" si="130"/>
        <v>20.138195125011357</v>
      </c>
      <c r="AR198" s="169">
        <f t="shared" si="131"/>
        <v>168.15432476716933</v>
      </c>
      <c r="AS198" s="168" t="str">
        <f t="shared" si="132"/>
        <v>4.79373060261184+29.3290626275549i</v>
      </c>
      <c r="AT198" s="190">
        <f t="shared" si="133"/>
        <v>29.460461610285833</v>
      </c>
      <c r="AU198" s="169">
        <f t="shared" si="134"/>
        <v>80.717290280121915</v>
      </c>
      <c r="AV198" s="225"/>
      <c r="AX198">
        <f t="shared" si="135"/>
        <v>0</v>
      </c>
      <c r="AY198">
        <f t="shared" si="136"/>
        <v>0</v>
      </c>
    </row>
    <row r="199" spans="14:51" x14ac:dyDescent="0.25">
      <c r="N199" s="170">
        <v>81</v>
      </c>
      <c r="O199" s="199">
        <f t="shared" si="137"/>
        <v>645.65422903465594</v>
      </c>
      <c r="P199" s="189" t="str">
        <f t="shared" si="103"/>
        <v>87</v>
      </c>
      <c r="Q199" s="160" t="str">
        <f t="shared" si="104"/>
        <v>1+30.4257387404169i</v>
      </c>
      <c r="R199" s="160">
        <f t="shared" si="112"/>
        <v>30.442167759542123</v>
      </c>
      <c r="S199" s="160">
        <f t="shared" si="113"/>
        <v>1.5379412443327249</v>
      </c>
      <c r="T199" s="160" t="str">
        <f t="shared" si="105"/>
        <v>1+0.0202838258269445i</v>
      </c>
      <c r="U199" s="160">
        <f t="shared" si="114"/>
        <v>1.0002056956397409</v>
      </c>
      <c r="V199" s="160">
        <f t="shared" si="115"/>
        <v>2.0281044697701377E-2</v>
      </c>
      <c r="W199" s="98" t="str">
        <f t="shared" si="106"/>
        <v>1-0.00287354199215048i</v>
      </c>
      <c r="X199" s="160">
        <f t="shared" si="116"/>
        <v>1.0000041286132677</v>
      </c>
      <c r="Y199" s="160">
        <f t="shared" si="117"/>
        <v>-2.8735340830109419E-3</v>
      </c>
      <c r="Z199" s="98" t="str">
        <f t="shared" si="107"/>
        <v>0.999997035595495+0.0060364665660987i</v>
      </c>
      <c r="AA199" s="160">
        <f t="shared" si="118"/>
        <v>1.0000152549478341</v>
      </c>
      <c r="AB199" s="160">
        <f t="shared" si="119"/>
        <v>6.0364111408399822E-3</v>
      </c>
      <c r="AC199" s="171" t="str">
        <f t="shared" si="120"/>
        <v>0.126376414948083-2.85563897083957i</v>
      </c>
      <c r="AD199" s="190">
        <f t="shared" si="121"/>
        <v>9.1225633786657436</v>
      </c>
      <c r="AE199" s="169">
        <f t="shared" si="122"/>
        <v>-87.46602643108821</v>
      </c>
      <c r="AF199" s="98" t="str">
        <f t="shared" si="108"/>
        <v>-0.0000673063927557778</v>
      </c>
      <c r="AG199" s="98" t="str">
        <f t="shared" si="109"/>
        <v>0.0000408435116851356i</v>
      </c>
      <c r="AH199" s="98">
        <f t="shared" si="123"/>
        <v>4.0843511685135603E-5</v>
      </c>
      <c r="AI199" s="98">
        <f t="shared" si="124"/>
        <v>1.5707963267948966</v>
      </c>
      <c r="AJ199" s="98" t="str">
        <f t="shared" si="110"/>
        <v>1+0.0410995278972655i</v>
      </c>
      <c r="AK199" s="98">
        <f t="shared" si="125"/>
        <v>1.0008442292351882</v>
      </c>
      <c r="AL199" s="98">
        <f t="shared" si="126"/>
        <v>4.1076409943326869E-2</v>
      </c>
      <c r="AM199" s="98" t="str">
        <f t="shared" si="111"/>
        <v>1+6.08514774808336i</v>
      </c>
      <c r="AN199" s="98">
        <f t="shared" si="127"/>
        <v>6.1667676392097013</v>
      </c>
      <c r="AO199" s="98">
        <f t="shared" si="128"/>
        <v>1.4079175931168448</v>
      </c>
      <c r="AP199" s="168" t="str">
        <f t="shared" si="129"/>
        <v>-9.94324594802998+2.05657176952043i</v>
      </c>
      <c r="AQ199" s="98">
        <f t="shared" si="130"/>
        <v>20.132486710297432</v>
      </c>
      <c r="AR199" s="169">
        <f t="shared" si="131"/>
        <v>168.31423106051042</v>
      </c>
      <c r="AS199" s="168" t="str">
        <f t="shared" si="132"/>
        <v>4.61623471551195+28.6542227931525i</v>
      </c>
      <c r="AT199" s="190">
        <f t="shared" si="133"/>
        <v>29.255050088963177</v>
      </c>
      <c r="AU199" s="169">
        <f t="shared" si="134"/>
        <v>80.848204629422256</v>
      </c>
      <c r="AV199" s="225"/>
      <c r="AX199">
        <f t="shared" si="135"/>
        <v>0</v>
      </c>
      <c r="AY199">
        <f t="shared" si="136"/>
        <v>0</v>
      </c>
    </row>
    <row r="200" spans="14:51" x14ac:dyDescent="0.25">
      <c r="N200" s="170">
        <v>82</v>
      </c>
      <c r="O200" s="199">
        <f t="shared" si="137"/>
        <v>660.69344800759643</v>
      </c>
      <c r="P200" s="189" t="str">
        <f t="shared" si="103"/>
        <v>87</v>
      </c>
      <c r="Q200" s="160" t="str">
        <f t="shared" si="104"/>
        <v>1+31.1344452380337i</v>
      </c>
      <c r="R200" s="160">
        <f t="shared" si="112"/>
        <v>31.150500482016646</v>
      </c>
      <c r="S200" s="160">
        <f t="shared" si="113"/>
        <v>1.5386885974517193</v>
      </c>
      <c r="T200" s="160" t="str">
        <f t="shared" si="105"/>
        <v>1+0.0207562968253557i</v>
      </c>
      <c r="U200" s="160">
        <f t="shared" si="114"/>
        <v>1.000215388732798</v>
      </c>
      <c r="V200" s="160">
        <f t="shared" si="115"/>
        <v>2.075331682633923E-2</v>
      </c>
      <c r="W200" s="98" t="str">
        <f t="shared" si="106"/>
        <v>1-0.00294047538359207i</v>
      </c>
      <c r="X200" s="160">
        <f t="shared" si="116"/>
        <v>1.0000043231883957</v>
      </c>
      <c r="Y200" s="160">
        <f t="shared" si="117"/>
        <v>-2.9404669087983457E-3</v>
      </c>
      <c r="Z200" s="98" t="str">
        <f t="shared" si="107"/>
        <v>0.999996895887415+0.00617707393522587i</v>
      </c>
      <c r="AA200" s="160">
        <f t="shared" si="118"/>
        <v>1.000015973885851</v>
      </c>
      <c r="AB200" s="160">
        <f t="shared" si="119"/>
        <v>6.1770145460418547E-3</v>
      </c>
      <c r="AC200" s="171" t="str">
        <f t="shared" si="120"/>
        <v>0.122156999004339-2.79078932125722i</v>
      </c>
      <c r="AD200" s="190">
        <f t="shared" si="121"/>
        <v>8.9228539244711467</v>
      </c>
      <c r="AE200" s="169">
        <f t="shared" si="122"/>
        <v>-87.493678360991652</v>
      </c>
      <c r="AF200" s="98" t="str">
        <f t="shared" si="108"/>
        <v>-0.0000673063927557778</v>
      </c>
      <c r="AG200" s="98" t="str">
        <f t="shared" si="109"/>
        <v>0.0000417948792875363i</v>
      </c>
      <c r="AH200" s="98">
        <f t="shared" si="123"/>
        <v>4.1794879287536302E-5</v>
      </c>
      <c r="AI200" s="98">
        <f t="shared" si="124"/>
        <v>1.5707963267948966</v>
      </c>
      <c r="AJ200" s="98" t="str">
        <f t="shared" si="110"/>
        <v>1+0.0420568588833191i</v>
      </c>
      <c r="AK200" s="98">
        <f t="shared" si="125"/>
        <v>1.0008839989624829</v>
      </c>
      <c r="AL200" s="98">
        <f t="shared" si="126"/>
        <v>4.2032088730856246E-2</v>
      </c>
      <c r="AM200" s="98" t="str">
        <f t="shared" si="111"/>
        <v>1+6.22688904760672i</v>
      </c>
      <c r="AN200" s="98">
        <f t="shared" si="127"/>
        <v>6.3066748141318119</v>
      </c>
      <c r="AO200" s="98">
        <f t="shared" si="128"/>
        <v>1.4115621048141092</v>
      </c>
      <c r="AP200" s="168" t="str">
        <f t="shared" si="129"/>
        <v>-9.94245578188912+2.02854652535206i</v>
      </c>
      <c r="AQ200" s="98">
        <f t="shared" si="130"/>
        <v>20.12699864651108</v>
      </c>
      <c r="AR200" s="169">
        <f t="shared" si="131"/>
        <v>168.46828983805412</v>
      </c>
      <c r="AS200" s="168" t="str">
        <f t="shared" si="132"/>
        <v>4.44670541957705+27.9951005790459i</v>
      </c>
      <c r="AT200" s="190">
        <f t="shared" si="133"/>
        <v>29.049852570982214</v>
      </c>
      <c r="AU200" s="169">
        <f t="shared" si="134"/>
        <v>80.974611477062496</v>
      </c>
      <c r="AV200" s="225"/>
      <c r="AX200">
        <f t="shared" si="135"/>
        <v>0</v>
      </c>
      <c r="AY200">
        <f t="shared" si="136"/>
        <v>0</v>
      </c>
    </row>
    <row r="201" spans="14:51" x14ac:dyDescent="0.25">
      <c r="N201" s="170">
        <v>83</v>
      </c>
      <c r="O201" s="199">
        <f t="shared" si="137"/>
        <v>676.08297539198213</v>
      </c>
      <c r="P201" s="189" t="str">
        <f t="shared" si="103"/>
        <v>87</v>
      </c>
      <c r="Q201" s="160" t="str">
        <f t="shared" si="104"/>
        <v>1+31.8596596306288i</v>
      </c>
      <c r="R201" s="160">
        <f t="shared" si="112"/>
        <v>31.875349594624343</v>
      </c>
      <c r="S201" s="160">
        <f t="shared" si="113"/>
        <v>1.5394189734078132</v>
      </c>
      <c r="T201" s="160" t="str">
        <f t="shared" si="105"/>
        <v>1+0.0212397730870858i</v>
      </c>
      <c r="U201" s="160">
        <f t="shared" si="114"/>
        <v>1.0002255385465775</v>
      </c>
      <c r="V201" s="160">
        <f t="shared" si="115"/>
        <v>2.1236579999495759E-2</v>
      </c>
      <c r="W201" s="98" t="str">
        <f t="shared" si="106"/>
        <v>1-0.00300896785400383i</v>
      </c>
      <c r="X201" s="160">
        <f t="shared" si="116"/>
        <v>1.0000045269335267</v>
      </c>
      <c r="Y201" s="160">
        <f t="shared" si="117"/>
        <v>-3.0089587731009664E-3</v>
      </c>
      <c r="Z201" s="98" t="str">
        <f t="shared" si="107"/>
        <v>0.999996749595096+0.00632095647071674i</v>
      </c>
      <c r="AA201" s="160">
        <f t="shared" si="118"/>
        <v>1.0000167267058395</v>
      </c>
      <c r="AB201" s="160">
        <f t="shared" si="119"/>
        <v>6.320892834116432E-3</v>
      </c>
      <c r="AC201" s="171" t="str">
        <f t="shared" si="120"/>
        <v>0.118127096127562-2.72740719509839i</v>
      </c>
      <c r="AD201" s="190">
        <f t="shared" si="121"/>
        <v>8.7231387373370666</v>
      </c>
      <c r="AE201" s="169">
        <f t="shared" si="122"/>
        <v>-87.520004793943471</v>
      </c>
      <c r="AF201" s="98" t="str">
        <f t="shared" si="108"/>
        <v>-0.0000673063927557778</v>
      </c>
      <c r="AG201" s="98" t="str">
        <f t="shared" si="109"/>
        <v>0.000042768407088156i</v>
      </c>
      <c r="AH201" s="98">
        <f t="shared" si="123"/>
        <v>4.2768407088155999E-5</v>
      </c>
      <c r="AI201" s="98">
        <f t="shared" si="124"/>
        <v>1.5707963267948966</v>
      </c>
      <c r="AJ201" s="98" t="str">
        <f t="shared" si="110"/>
        <v>1+0.0430364889726411i</v>
      </c>
      <c r="AK201" s="98">
        <f t="shared" si="125"/>
        <v>1.0009256412856513</v>
      </c>
      <c r="AL201" s="98">
        <f t="shared" si="126"/>
        <v>4.3009948601571757E-2</v>
      </c>
      <c r="AM201" s="98" t="str">
        <f t="shared" si="111"/>
        <v>1+6.37193192612574i</v>
      </c>
      <c r="AN201" s="98">
        <f t="shared" si="127"/>
        <v>6.449923757005231</v>
      </c>
      <c r="AO201" s="98">
        <f t="shared" si="128"/>
        <v>1.4151277843707992</v>
      </c>
      <c r="AP201" s="168" t="str">
        <f t="shared" si="129"/>
        <v>-9.94162851095683+2.00159371602143i</v>
      </c>
      <c r="AQ201" s="98">
        <f t="shared" si="130"/>
        <v>20.121720124315353</v>
      </c>
      <c r="AR201" s="169">
        <f t="shared" si="131"/>
        <v>168.6165609842013</v>
      </c>
      <c r="AS201" s="168" t="str">
        <f t="shared" si="132"/>
        <v>4.28478539596226+27.3513115850797i</v>
      </c>
      <c r="AT201" s="190">
        <f t="shared" si="133"/>
        <v>28.844858861652405</v>
      </c>
      <c r="AU201" s="169">
        <f t="shared" si="134"/>
        <v>81.096556190257829</v>
      </c>
      <c r="AV201" s="225"/>
      <c r="AX201">
        <f t="shared" si="135"/>
        <v>0</v>
      </c>
      <c r="AY201">
        <f t="shared" si="136"/>
        <v>0</v>
      </c>
    </row>
    <row r="202" spans="14:51" x14ac:dyDescent="0.25">
      <c r="N202" s="170">
        <v>84</v>
      </c>
      <c r="O202" s="199">
        <f t="shared" si="137"/>
        <v>691.83097091893671</v>
      </c>
      <c r="P202" s="189" t="str">
        <f t="shared" si="103"/>
        <v>87</v>
      </c>
      <c r="Q202" s="160" t="str">
        <f t="shared" si="104"/>
        <v>1+32.6017664364725i</v>
      </c>
      <c r="R202" s="160">
        <f t="shared" si="112"/>
        <v>32.617099423129353</v>
      </c>
      <c r="S202" s="160">
        <f t="shared" si="113"/>
        <v>1.5401327563372766</v>
      </c>
      <c r="T202" s="160" t="str">
        <f t="shared" si="105"/>
        <v>1+0.0217345109576482i</v>
      </c>
      <c r="U202" s="160">
        <f t="shared" si="114"/>
        <v>1.0002361665959536</v>
      </c>
      <c r="V202" s="160">
        <f t="shared" si="115"/>
        <v>2.1731089546281331E-2</v>
      </c>
      <c r="W202" s="98" t="str">
        <f t="shared" si="106"/>
        <v>1-0.00307905571900018i</v>
      </c>
      <c r="X202" s="160">
        <f t="shared" si="116"/>
        <v>1.0000047402808252</v>
      </c>
      <c r="Y202" s="160">
        <f t="shared" si="117"/>
        <v>-3.0790459886399441E-3</v>
      </c>
      <c r="Z202" s="98" t="str">
        <f t="shared" si="107"/>
        <v>0.999996596408232+0.00646819046099612i</v>
      </c>
      <c r="AA202" s="160">
        <f t="shared" si="118"/>
        <v>1.0000175150045563</v>
      </c>
      <c r="AB202" s="160">
        <f t="shared" si="119"/>
        <v>6.4681222732142002E-3</v>
      </c>
      <c r="AC202" s="171" t="str">
        <f t="shared" si="120"/>
        <v>0.114278210002871-2.66545979836023i</v>
      </c>
      <c r="AD202" s="190">
        <f t="shared" si="121"/>
        <v>8.523418419852403</v>
      </c>
      <c r="AE202" s="169">
        <f t="shared" si="122"/>
        <v>-87.545019560459068</v>
      </c>
      <c r="AF202" s="98" t="str">
        <f t="shared" si="108"/>
        <v>-0.0000673063927557778</v>
      </c>
      <c r="AG202" s="98" t="str">
        <f t="shared" si="109"/>
        <v>0.0000437646112643205i</v>
      </c>
      <c r="AH202" s="98">
        <f t="shared" si="123"/>
        <v>4.3764611264320502E-5</v>
      </c>
      <c r="AI202" s="98">
        <f t="shared" si="124"/>
        <v>1.5707963267948966</v>
      </c>
      <c r="AJ202" s="98" t="str">
        <f t="shared" si="110"/>
        <v>1+0.0440389375780715i</v>
      </c>
      <c r="AK202" s="98">
        <f t="shared" si="125"/>
        <v>1.0009692442942517</v>
      </c>
      <c r="AL202" s="98">
        <f t="shared" si="126"/>
        <v>4.4010500545143889E-2</v>
      </c>
      <c r="AM202" s="98" t="str">
        <f t="shared" si="111"/>
        <v>1+6.52035328729447i</v>
      </c>
      <c r="AN202" s="98">
        <f t="shared" si="127"/>
        <v>6.5965905580937649</v>
      </c>
      <c r="AO202" s="98">
        <f t="shared" si="128"/>
        <v>1.4186161594977154</v>
      </c>
      <c r="AP202" s="168" t="str">
        <f t="shared" si="129"/>
        <v>-9.94076239948651+1.97569882796112i</v>
      </c>
      <c r="AQ202" s="98">
        <f t="shared" si="130"/>
        <v>20.116640708699652</v>
      </c>
      <c r="AR202" s="169">
        <f t="shared" si="131"/>
        <v>168.75910275278181</v>
      </c>
      <c r="AS202" s="168" t="str">
        <f t="shared" si="132"/>
        <v>4.13013326652063+26.7224818664464i</v>
      </c>
      <c r="AT202" s="190">
        <f t="shared" si="133"/>
        <v>28.640059128552039</v>
      </c>
      <c r="AU202" s="169">
        <f t="shared" si="134"/>
        <v>81.214083192322747</v>
      </c>
      <c r="AV202" s="225"/>
      <c r="AX202">
        <f t="shared" si="135"/>
        <v>0</v>
      </c>
      <c r="AY202">
        <f t="shared" si="136"/>
        <v>0</v>
      </c>
    </row>
    <row r="203" spans="14:51" x14ac:dyDescent="0.25">
      <c r="N203" s="170">
        <v>85</v>
      </c>
      <c r="O203" s="199">
        <f t="shared" si="137"/>
        <v>707.94578438413873</v>
      </c>
      <c r="P203" s="189" t="str">
        <f t="shared" si="103"/>
        <v>87</v>
      </c>
      <c r="Q203" s="160" t="str">
        <f t="shared" si="104"/>
        <v>1+33.3611591304162i</v>
      </c>
      <c r="R203" s="160">
        <f t="shared" si="112"/>
        <v>33.376143254201075</v>
      </c>
      <c r="S203" s="160">
        <f t="shared" si="113"/>
        <v>1.5408303217863035</v>
      </c>
      <c r="T203" s="160" t="str">
        <f t="shared" si="105"/>
        <v>1+0.0222407727536107i</v>
      </c>
      <c r="U203" s="160">
        <f t="shared" si="114"/>
        <v>1.0002472954088293</v>
      </c>
      <c r="V203" s="160">
        <f t="shared" si="115"/>
        <v>2.2237106694231158E-2</v>
      </c>
      <c r="W203" s="98" t="str">
        <f t="shared" si="106"/>
        <v>1-0.00315077614009486i</v>
      </c>
      <c r="X203" s="160">
        <f t="shared" si="116"/>
        <v>1.0000049636828234</v>
      </c>
      <c r="Y203" s="160">
        <f t="shared" si="117"/>
        <v>-3.1507657138288153E-3</v>
      </c>
      <c r="Z203" s="98" t="str">
        <f t="shared" si="107"/>
        <v>0.999996436001894+0.00661885397147456i</v>
      </c>
      <c r="AA203" s="160">
        <f t="shared" si="118"/>
        <v>1.0000183404540066</v>
      </c>
      <c r="AB203" s="160">
        <f t="shared" si="119"/>
        <v>6.6187809070214643E-3</v>
      </c>
      <c r="AC203" s="171" t="str">
        <f t="shared" si="120"/>
        <v>0.110602223740154-2.60491504372373i</v>
      </c>
      <c r="AD203" s="190">
        <f t="shared" si="121"/>
        <v>8.3236935638134959</v>
      </c>
      <c r="AE203" s="169">
        <f t="shared" si="122"/>
        <v>-87.568735811109192</v>
      </c>
      <c r="AF203" s="98" t="str">
        <f t="shared" si="108"/>
        <v>-0.0000673063927557778</v>
      </c>
      <c r="AG203" s="98" t="str">
        <f t="shared" si="109"/>
        <v>0.0000447840200166706i</v>
      </c>
      <c r="AH203" s="98">
        <f t="shared" si="123"/>
        <v>4.4784020016670603E-5</v>
      </c>
      <c r="AI203" s="98">
        <f t="shared" si="124"/>
        <v>1.5707963267948966</v>
      </c>
      <c r="AJ203" s="98" t="str">
        <f t="shared" si="110"/>
        <v>1+0.0450647362111302i</v>
      </c>
      <c r="AK203" s="98">
        <f t="shared" si="125"/>
        <v>1.0010149002136675</v>
      </c>
      <c r="AL203" s="98">
        <f t="shared" si="126"/>
        <v>4.5034267049639858E-2</v>
      </c>
      <c r="AM203" s="98" t="str">
        <f t="shared" si="111"/>
        <v>1+6.67223182608322i</v>
      </c>
      <c r="AN203" s="98">
        <f t="shared" si="127"/>
        <v>6.7467531110155363</v>
      </c>
      <c r="AO203" s="98">
        <f t="shared" si="128"/>
        <v>1.4220287400094811</v>
      </c>
      <c r="AP203" s="168" t="str">
        <f t="shared" si="129"/>
        <v>-9.93985563117187+1.95084789269272i</v>
      </c>
      <c r="AQ203" s="98">
        <f t="shared" si="130"/>
        <v>20.111750322791728</v>
      </c>
      <c r="AR203" s="169">
        <f t="shared" si="131"/>
        <v>168.89597171344002</v>
      </c>
      <c r="AS203" s="168" t="str">
        <f t="shared" si="132"/>
        <v>3.9824228872283+26.1082475811922i</v>
      </c>
      <c r="AT203" s="190">
        <f t="shared" si="133"/>
        <v>28.435443886605206</v>
      </c>
      <c r="AU203" s="169">
        <f t="shared" si="134"/>
        <v>81.327235902330813</v>
      </c>
      <c r="AV203" s="225"/>
      <c r="AX203">
        <f t="shared" si="135"/>
        <v>0</v>
      </c>
      <c r="AY203">
        <f t="shared" si="136"/>
        <v>0</v>
      </c>
    </row>
    <row r="204" spans="14:51" x14ac:dyDescent="0.25">
      <c r="N204" s="170">
        <v>86</v>
      </c>
      <c r="O204" s="199">
        <f t="shared" si="137"/>
        <v>724.43596007499025</v>
      </c>
      <c r="P204" s="189" t="str">
        <f t="shared" si="103"/>
        <v>87</v>
      </c>
      <c r="Q204" s="160" t="str">
        <f t="shared" si="104"/>
        <v>1+34.138240352518i</v>
      </c>
      <c r="R204" s="160">
        <f t="shared" si="112"/>
        <v>34.152883543945279</v>
      </c>
      <c r="S204" s="160">
        <f t="shared" si="113"/>
        <v>1.5415120368963056</v>
      </c>
      <c r="T204" s="160" t="str">
        <f t="shared" si="105"/>
        <v>1+0.0227588269016786i</v>
      </c>
      <c r="U204" s="160">
        <f t="shared" si="114"/>
        <v>1.0002589485737883</v>
      </c>
      <c r="V204" s="160">
        <f t="shared" si="115"/>
        <v>2.2754898703201656E-2</v>
      </c>
      <c r="W204" s="98" t="str">
        <f t="shared" si="106"/>
        <v>1-0.00322416714440447i</v>
      </c>
      <c r="X204" s="160">
        <f t="shared" si="116"/>
        <v>1.0000051976133799</v>
      </c>
      <c r="Y204" s="160">
        <f t="shared" si="117"/>
        <v>-3.2241559724622581E-3</v>
      </c>
      <c r="Z204" s="98" t="str">
        <f t="shared" si="107"/>
        <v>0.999996268035838+0.00677302688593955i</v>
      </c>
      <c r="AA204" s="160">
        <f t="shared" si="118"/>
        <v>1.0000192048049885</v>
      </c>
      <c r="AB204" s="160">
        <f t="shared" si="119"/>
        <v>6.7729485960478864E-3</v>
      </c>
      <c r="AC204" s="171" t="str">
        <f t="shared" si="120"/>
        <v>0.107091383055081-2.54574153712816i</v>
      </c>
      <c r="AD204" s="190">
        <f t="shared" si="121"/>
        <v>8.1239647514674331</v>
      </c>
      <c r="AE204" s="169">
        <f t="shared" si="122"/>
        <v>-87.591166022958575</v>
      </c>
      <c r="AF204" s="98" t="str">
        <f t="shared" si="108"/>
        <v>-0.0000673063927557778</v>
      </c>
      <c r="AG204" s="98" t="str">
        <f t="shared" si="109"/>
        <v>0.00004582717384922i</v>
      </c>
      <c r="AH204" s="98">
        <f t="shared" si="123"/>
        <v>4.582717384922E-5</v>
      </c>
      <c r="AI204" s="98">
        <f t="shared" si="124"/>
        <v>1.5707963267948966</v>
      </c>
      <c r="AJ204" s="98" t="str">
        <f t="shared" si="110"/>
        <v>1+0.0461144287638303i</v>
      </c>
      <c r="AK204" s="98">
        <f t="shared" si="125"/>
        <v>1.0010627055985126</v>
      </c>
      <c r="AL204" s="98">
        <f t="shared" si="126"/>
        <v>4.6081782340664935E-2</v>
      </c>
      <c r="AM204" s="98" t="str">
        <f t="shared" si="111"/>
        <v>1+6.82764807050358i</v>
      </c>
      <c r="AN204" s="98">
        <f t="shared" si="127"/>
        <v>6.900491154595537</v>
      </c>
      <c r="AO204" s="98">
        <f t="shared" si="128"/>
        <v>1.4253670172020612</v>
      </c>
      <c r="AP204" s="168" t="str">
        <f t="shared" si="129"/>
        <v>-9.93890630547013+1.92702747830029i</v>
      </c>
      <c r="AQ204" s="98">
        <f t="shared" si="130"/>
        <v>20.107039231949663</v>
      </c>
      <c r="AR204" s="169">
        <f t="shared" si="131"/>
        <v>169.02722270226855</v>
      </c>
      <c r="AS204" s="168" t="str">
        <f t="shared" si="132"/>
        <v>3.84134267238872+25.5082546532966i</v>
      </c>
      <c r="AT204" s="190">
        <f t="shared" si="133"/>
        <v>28.231003983417089</v>
      </c>
      <c r="AU204" s="169">
        <f t="shared" si="134"/>
        <v>81.436056679309985</v>
      </c>
      <c r="AV204" s="225"/>
      <c r="AX204">
        <f t="shared" si="135"/>
        <v>0</v>
      </c>
      <c r="AY204">
        <f t="shared" si="136"/>
        <v>0</v>
      </c>
    </row>
    <row r="205" spans="14:51" x14ac:dyDescent="0.25">
      <c r="N205" s="170">
        <v>87</v>
      </c>
      <c r="O205" s="199">
        <f t="shared" si="137"/>
        <v>741.31024130091828</v>
      </c>
      <c r="P205" s="189" t="str">
        <f t="shared" si="103"/>
        <v>87</v>
      </c>
      <c r="Q205" s="160" t="str">
        <f t="shared" si="104"/>
        <v>1+34.9334221215277i</v>
      </c>
      <c r="R205" s="160">
        <f t="shared" si="112"/>
        <v>34.947732131296313</v>
      </c>
      <c r="S205" s="160">
        <f t="shared" si="113"/>
        <v>1.5421782605856698</v>
      </c>
      <c r="T205" s="160" t="str">
        <f t="shared" si="105"/>
        <v>1+0.0232889480810184i</v>
      </c>
      <c r="U205" s="160">
        <f t="shared" si="114"/>
        <v>1.0002711507899846</v>
      </c>
      <c r="V205" s="160">
        <f t="shared" si="115"/>
        <v>2.3284739002137376E-2</v>
      </c>
      <c r="W205" s="98" t="str">
        <f t="shared" si="106"/>
        <v>1-0.00329926764481095i</v>
      </c>
      <c r="X205" s="160">
        <f t="shared" si="116"/>
        <v>1.0000054425686853</v>
      </c>
      <c r="Y205" s="160">
        <f t="shared" si="117"/>
        <v>-3.2992556738627118E-3</v>
      </c>
      <c r="Z205" s="98" t="str">
        <f t="shared" si="107"/>
        <v>0.999996092153786+0.00693079094891108i</v>
      </c>
      <c r="AA205" s="160">
        <f t="shared" si="118"/>
        <v>1.0000201098908066</v>
      </c>
      <c r="AB205" s="160">
        <f t="shared" si="119"/>
        <v>6.9307070598709141E-3</v>
      </c>
      <c r="AC205" s="171" t="str">
        <f t="shared" si="120"/>
        <v>0.103738280184366-2.48790856447551i</v>
      </c>
      <c r="AD205" s="190">
        <f t="shared" si="121"/>
        <v>7.9242325567352845</v>
      </c>
      <c r="AE205" s="169">
        <f t="shared" si="122"/>
        <v>-87.612322005718255</v>
      </c>
      <c r="AF205" s="98" t="str">
        <f t="shared" si="108"/>
        <v>-0.0000673063927557778</v>
      </c>
      <c r="AG205" s="98" t="str">
        <f t="shared" si="109"/>
        <v>0.0000468946258559387i</v>
      </c>
      <c r="AH205" s="98">
        <f t="shared" si="123"/>
        <v>4.6894625855938697E-5</v>
      </c>
      <c r="AI205" s="98">
        <f t="shared" si="124"/>
        <v>1.5707963267948966</v>
      </c>
      <c r="AJ205" s="98" t="str">
        <f t="shared" si="110"/>
        <v>1+0.0471885717970575i</v>
      </c>
      <c r="AK205" s="98">
        <f t="shared" si="125"/>
        <v>1.0011127615350062</v>
      </c>
      <c r="AL205" s="98">
        <f t="shared" si="126"/>
        <v>4.7153592624049522E-2</v>
      </c>
      <c r="AM205" s="98" t="str">
        <f t="shared" si="111"/>
        <v>1+6.98668442430552i</v>
      </c>
      <c r="AN205" s="98">
        <f t="shared" si="127"/>
        <v>7.0578863156637306</v>
      </c>
      <c r="AO205" s="98">
        <f t="shared" si="128"/>
        <v>1.428632463303211</v>
      </c>
      <c r="AP205" s="168" t="str">
        <f t="shared" si="129"/>
        <v>-9.9379124337618+1.90422468110995i</v>
      </c>
      <c r="AQ205" s="98">
        <f t="shared" si="130"/>
        <v>20.102498028136523</v>
      </c>
      <c r="AR205" s="169">
        <f t="shared" si="131"/>
        <v>169.15290877641516</v>
      </c>
      <c r="AS205" s="168" t="str">
        <f t="shared" si="132"/>
        <v>3.70659494831781+24.9221584504666i</v>
      </c>
      <c r="AT205" s="190">
        <f t="shared" si="133"/>
        <v>28.026730584871803</v>
      </c>
      <c r="AU205" s="169">
        <f t="shared" si="134"/>
        <v>81.540586770696933</v>
      </c>
      <c r="AV205" s="225"/>
      <c r="AX205">
        <f t="shared" si="135"/>
        <v>0</v>
      </c>
      <c r="AY205">
        <f t="shared" si="136"/>
        <v>0</v>
      </c>
    </row>
    <row r="206" spans="14:51" x14ac:dyDescent="0.25">
      <c r="N206" s="170">
        <v>88</v>
      </c>
      <c r="O206" s="199">
        <f t="shared" si="137"/>
        <v>758.57757502918378</v>
      </c>
      <c r="P206" s="189" t="str">
        <f t="shared" si="103"/>
        <v>87</v>
      </c>
      <c r="Q206" s="160" t="str">
        <f t="shared" si="104"/>
        <v>1+35.7471260533448i</v>
      </c>
      <c r="R206" s="160">
        <f t="shared" si="112"/>
        <v>35.761110456384358</v>
      </c>
      <c r="S206" s="160">
        <f t="shared" si="113"/>
        <v>1.5428293437280127</v>
      </c>
      <c r="T206" s="160" t="str">
        <f t="shared" si="105"/>
        <v>1+0.0238314173688964i</v>
      </c>
      <c r="U206" s="160">
        <f t="shared" si="114"/>
        <v>1.0002839279193736</v>
      </c>
      <c r="V206" s="160">
        <f t="shared" si="115"/>
        <v>2.3826907328756475E-2</v>
      </c>
      <c r="W206" s="98" t="str">
        <f t="shared" si="106"/>
        <v>1-0.00337611746059367i</v>
      </c>
      <c r="X206" s="160">
        <f t="shared" si="116"/>
        <v>1.0000056990683142</v>
      </c>
      <c r="Y206" s="160">
        <f t="shared" si="117"/>
        <v>-3.3761046334954787E-3</v>
      </c>
      <c r="Z206" s="98" t="str">
        <f t="shared" si="107"/>
        <v>0.999995907982668+0.00709222980898359i</v>
      </c>
      <c r="AA206" s="160">
        <f t="shared" si="118"/>
        <v>1.0000210576311603</v>
      </c>
      <c r="AB206" s="160">
        <f t="shared" si="119"/>
        <v>7.0921399203587128E-3</v>
      </c>
      <c r="AC206" s="171" t="str">
        <f t="shared" si="120"/>
        <v>0.100535838504219-2.43138607847374i</v>
      </c>
      <c r="AD206" s="190">
        <f t="shared" si="121"/>
        <v>7.7244975464185082</v>
      </c>
      <c r="AE206" s="169">
        <f t="shared" si="122"/>
        <v>-87.632214907613303</v>
      </c>
      <c r="AF206" s="98" t="str">
        <f t="shared" si="108"/>
        <v>-0.0000673063927557778</v>
      </c>
      <c r="AG206" s="98" t="str">
        <f t="shared" si="109"/>
        <v>0.0000479869420140099i</v>
      </c>
      <c r="AH206" s="98">
        <f t="shared" si="123"/>
        <v>4.7986942014009899E-5</v>
      </c>
      <c r="AI206" s="98">
        <f t="shared" si="124"/>
        <v>1.5707963267948966</v>
      </c>
      <c r="AJ206" s="98" t="str">
        <f t="shared" si="110"/>
        <v>1+0.0482877348356662i</v>
      </c>
      <c r="AK206" s="98">
        <f t="shared" si="125"/>
        <v>1.0011651738527263</v>
      </c>
      <c r="AL206" s="98">
        <f t="shared" si="126"/>
        <v>4.8250256332020389E-2</v>
      </c>
      <c r="AM206" s="98" t="str">
        <f t="shared" si="111"/>
        <v>1+7.14942521066893i</v>
      </c>
      <c r="AN206" s="98">
        <f t="shared" si="127"/>
        <v>7.219022152822947</v>
      </c>
      <c r="AO206" s="98">
        <f t="shared" si="128"/>
        <v>1.4318265309912839</v>
      </c>
      <c r="AP206" s="168" t="str">
        <f t="shared" si="129"/>
        <v>-9.93687193534367+1.88242711756531i</v>
      </c>
      <c r="AQ206" s="98">
        <f t="shared" si="130"/>
        <v>20.098117614582822</v>
      </c>
      <c r="AR206" s="169">
        <f t="shared" si="131"/>
        <v>169.27308117240898</v>
      </c>
      <c r="AS206" s="168" t="str">
        <f t="shared" si="132"/>
        <v>3.57789533526093+24.3496234758585i</v>
      </c>
      <c r="AT206" s="190">
        <f t="shared" si="133"/>
        <v>27.82261516100132</v>
      </c>
      <c r="AU206" s="169">
        <f t="shared" si="134"/>
        <v>81.640866264795676</v>
      </c>
      <c r="AV206" s="225"/>
      <c r="AX206">
        <f t="shared" si="135"/>
        <v>0</v>
      </c>
      <c r="AY206">
        <f t="shared" si="136"/>
        <v>0</v>
      </c>
    </row>
    <row r="207" spans="14:51" x14ac:dyDescent="0.25">
      <c r="N207" s="170">
        <v>89</v>
      </c>
      <c r="O207" s="199">
        <f t="shared" si="137"/>
        <v>776.24711662869231</v>
      </c>
      <c r="P207" s="189" t="str">
        <f t="shared" si="103"/>
        <v>87</v>
      </c>
      <c r="Q207" s="160" t="str">
        <f t="shared" si="104"/>
        <v>1+36.5797835845645i</v>
      </c>
      <c r="R207" s="160">
        <f t="shared" si="112"/>
        <v>36.593449783992419</v>
      </c>
      <c r="S207" s="160">
        <f t="shared" si="113"/>
        <v>1.5434656293269693</v>
      </c>
      <c r="T207" s="160" t="str">
        <f t="shared" si="105"/>
        <v>1+0.0243865223897096i</v>
      </c>
      <c r="U207" s="160">
        <f t="shared" si="114"/>
        <v>1.0002973070413934</v>
      </c>
      <c r="V207" s="160">
        <f t="shared" si="115"/>
        <v>2.4381689872203891E-2</v>
      </c>
      <c r="W207" s="98" t="str">
        <f t="shared" si="106"/>
        <v>1-0.0034547573385422i</v>
      </c>
      <c r="X207" s="160">
        <f t="shared" si="116"/>
        <v>1.0000059676563275</v>
      </c>
      <c r="Y207" s="160">
        <f t="shared" si="117"/>
        <v>-3.4547435940632878E-3</v>
      </c>
      <c r="Z207" s="98" t="str">
        <f t="shared" si="107"/>
        <v>0.999995715131832+0.00725742906317758i</v>
      </c>
      <c r="AA207" s="160">
        <f t="shared" si="118"/>
        <v>1.0000220500362136</v>
      </c>
      <c r="AB207" s="160">
        <f t="shared" si="119"/>
        <v>7.2573327458942075E-3</v>
      </c>
      <c r="AC207" s="171" t="str">
        <f t="shared" si="120"/>
        <v>0.0974772978221516-2.37614468562636i</v>
      </c>
      <c r="AD207" s="190">
        <f t="shared" si="121"/>
        <v>7.5247602813906136</v>
      </c>
      <c r="AE207" s="169">
        <f t="shared" si="122"/>
        <v>-87.65085522096625</v>
      </c>
      <c r="AF207" s="98" t="str">
        <f t="shared" si="108"/>
        <v>-0.0000673063927557778</v>
      </c>
      <c r="AG207" s="98" t="str">
        <f t="shared" si="109"/>
        <v>0.0000491047014839192i</v>
      </c>
      <c r="AH207" s="98">
        <f t="shared" si="123"/>
        <v>4.91047014839192E-5</v>
      </c>
      <c r="AI207" s="98">
        <f t="shared" si="124"/>
        <v>1.5707963267948966</v>
      </c>
      <c r="AJ207" s="98" t="str">
        <f t="shared" si="110"/>
        <v>1+0.0494125006704485i</v>
      </c>
      <c r="AK207" s="98">
        <f t="shared" si="125"/>
        <v>1.0012200533461697</v>
      </c>
      <c r="AL207" s="98">
        <f t="shared" si="126"/>
        <v>4.9372344372785516E-2</v>
      </c>
      <c r="AM207" s="98" t="str">
        <f t="shared" si="111"/>
        <v>1+7.31595671691288i</v>
      </c>
      <c r="AN207" s="98">
        <f t="shared" si="127"/>
        <v>7.3839842012116108</v>
      </c>
      <c r="AO207" s="98">
        <f t="shared" si="128"/>
        <v>1.4349506529780134</v>
      </c>
      <c r="AP207" s="168" t="str">
        <f t="shared" si="129"/>
        <v>-9.93578263324491+1.86162291628889i</v>
      </c>
      <c r="AQ207" s="98">
        <f t="shared" si="130"/>
        <v>20.093889190734544</v>
      </c>
      <c r="AR207" s="169">
        <f t="shared" si="131"/>
        <v>169.3877892679547</v>
      </c>
      <c r="AS207" s="168" t="str">
        <f t="shared" si="132"/>
        <v>3.45497215634312+23.7903230729672i</v>
      </c>
      <c r="AT207" s="190">
        <f t="shared" si="133"/>
        <v>27.618649472125153</v>
      </c>
      <c r="AU207" s="169">
        <f t="shared" si="134"/>
        <v>81.736934046988438</v>
      </c>
      <c r="AV207" s="225"/>
      <c r="AX207">
        <f t="shared" si="135"/>
        <v>0</v>
      </c>
      <c r="AY207">
        <f t="shared" si="136"/>
        <v>0</v>
      </c>
    </row>
    <row r="208" spans="14:51" x14ac:dyDescent="0.25">
      <c r="N208" s="170">
        <v>90</v>
      </c>
      <c r="O208" s="199">
        <f t="shared" si="137"/>
        <v>794.32823472428208</v>
      </c>
      <c r="P208" s="189" t="str">
        <f t="shared" si="103"/>
        <v>87</v>
      </c>
      <c r="Q208" s="160" t="str">
        <f t="shared" si="104"/>
        <v>1+37.4318362012314i</v>
      </c>
      <c r="R208" s="160">
        <f t="shared" si="112"/>
        <v>37.445191432222877</v>
      </c>
      <c r="S208" s="160">
        <f t="shared" si="113"/>
        <v>1.544087452687557</v>
      </c>
      <c r="T208" s="160" t="str">
        <f t="shared" si="105"/>
        <v>1+0.0249545574674875i</v>
      </c>
      <c r="U208" s="160">
        <f t="shared" si="114"/>
        <v>1.0003113165102142</v>
      </c>
      <c r="V208" s="160">
        <f t="shared" si="115"/>
        <v>2.4949379418720618E-2</v>
      </c>
      <c r="W208" s="98" t="str">
        <f t="shared" si="106"/>
        <v>1-0.00353522897456074i</v>
      </c>
      <c r="X208" s="160">
        <f t="shared" si="116"/>
        <v>1.0000062489024268</v>
      </c>
      <c r="Y208" s="160">
        <f t="shared" si="117"/>
        <v>-3.5352142470912156E-3</v>
      </c>
      <c r="Z208" s="98" t="str">
        <f t="shared" si="107"/>
        <v>0.999995513192217+0.0074264763023243i</v>
      </c>
      <c r="AA208" s="160">
        <f t="shared" si="118"/>
        <v>1.0000230892108612</v>
      </c>
      <c r="AB208" s="160">
        <f t="shared" si="119"/>
        <v>7.4263730966230871E-3</v>
      </c>
      <c r="AC208" s="171" t="str">
        <f t="shared" si="120"/>
        <v>0.0945562003134596-2.32215563337511i</v>
      </c>
      <c r="AD208" s="190">
        <f t="shared" si="121"/>
        <v>7.3250213177765851</v>
      </c>
      <c r="AE208" s="169">
        <f t="shared" si="122"/>
        <v>-87.668252787498801</v>
      </c>
      <c r="AF208" s="98" t="str">
        <f t="shared" si="108"/>
        <v>-0.0000673063927557778</v>
      </c>
      <c r="AG208" s="98" t="str">
        <f t="shared" si="109"/>
        <v>0.0000502484969165329i</v>
      </c>
      <c r="AH208" s="98">
        <f t="shared" si="123"/>
        <v>5.0248496916532903E-5</v>
      </c>
      <c r="AI208" s="98">
        <f t="shared" si="124"/>
        <v>1.5707963267948966</v>
      </c>
      <c r="AJ208" s="98" t="str">
        <f t="shared" si="110"/>
        <v>1+0.050563465667138i</v>
      </c>
      <c r="AK208" s="98">
        <f t="shared" si="125"/>
        <v>1.0012775160065623</v>
      </c>
      <c r="AL208" s="98">
        <f t="shared" si="126"/>
        <v>5.0520440383451631E-2</v>
      </c>
      <c r="AM208" s="98" t="str">
        <f t="shared" si="111"/>
        <v>1+7.48636724024626i</v>
      </c>
      <c r="AN208" s="98">
        <f t="shared" si="127"/>
        <v>7.5528600182866095</v>
      </c>
      <c r="AO208" s="98">
        <f t="shared" si="128"/>
        <v>1.4380062416511041</v>
      </c>
      <c r="AP208" s="168" t="str">
        <f t="shared" si="129"/>
        <v>-9.93464224986221+1.84180071031907i</v>
      </c>
      <c r="AQ208" s="98">
        <f t="shared" si="130"/>
        <v>20.089804237487819</v>
      </c>
      <c r="AR208" s="169">
        <f t="shared" si="131"/>
        <v>169.49708054696379</v>
      </c>
      <c r="AS208" s="168" t="str">
        <f t="shared" si="132"/>
        <v>3.33756587240118+23.2439391429863i</v>
      </c>
      <c r="AT208" s="190">
        <f t="shared" si="133"/>
        <v>27.414825555264404</v>
      </c>
      <c r="AU208" s="169">
        <f t="shared" si="134"/>
        <v>81.828827759464971</v>
      </c>
      <c r="AV208" s="225"/>
      <c r="AX208">
        <f t="shared" si="135"/>
        <v>0</v>
      </c>
      <c r="AY208">
        <f t="shared" si="136"/>
        <v>0</v>
      </c>
    </row>
    <row r="209" spans="14:51" x14ac:dyDescent="0.25">
      <c r="N209" s="170">
        <v>91</v>
      </c>
      <c r="O209" s="199">
        <f t="shared" si="137"/>
        <v>812.83051616409978</v>
      </c>
      <c r="P209" s="189" t="str">
        <f t="shared" si="103"/>
        <v>87</v>
      </c>
      <c r="Q209" s="160" t="str">
        <f t="shared" si="104"/>
        <v>1+38.3037356729211i</v>
      </c>
      <c r="R209" s="160">
        <f t="shared" si="112"/>
        <v>38.316787006493755</v>
      </c>
      <c r="S209" s="160">
        <f t="shared" si="113"/>
        <v>1.5446951415841561</v>
      </c>
      <c r="T209" s="160" t="str">
        <f t="shared" si="105"/>
        <v>1+0.0255358237819474i</v>
      </c>
      <c r="U209" s="160">
        <f t="shared" si="114"/>
        <v>1.0003259860146705</v>
      </c>
      <c r="V209" s="160">
        <f t="shared" si="115"/>
        <v>2.5530275500379285E-2</v>
      </c>
      <c r="W209" s="98" t="str">
        <f t="shared" si="106"/>
        <v>1-0.00361757503577588i</v>
      </c>
      <c r="X209" s="160">
        <f t="shared" si="116"/>
        <v>1.0000065434031618</v>
      </c>
      <c r="Y209" s="160">
        <f t="shared" si="117"/>
        <v>-3.6175592550135444E-3</v>
      </c>
      <c r="Z209" s="98" t="str">
        <f t="shared" si="107"/>
        <v>0.999995301735481+0.00759946115750753i</v>
      </c>
      <c r="AA209" s="160">
        <f t="shared" si="118"/>
        <v>1.0000241773591878</v>
      </c>
      <c r="AB209" s="160">
        <f t="shared" si="119"/>
        <v>7.5993505707491584E-3</v>
      </c>
      <c r="AC209" s="171" t="str">
        <f t="shared" si="120"/>
        <v>0.0917663770749-2.26939079740176i</v>
      </c>
      <c r="AD209" s="190">
        <f t="shared" si="121"/>
        <v>7.1252812081227219</v>
      </c>
      <c r="AE209" s="169">
        <f t="shared" si="122"/>
        <v>-87.68441680335232</v>
      </c>
      <c r="AF209" s="98" t="str">
        <f t="shared" si="108"/>
        <v>-0.0000673063927557778</v>
      </c>
      <c r="AG209" s="98" t="str">
        <f t="shared" si="109"/>
        <v>0.0000514189347673292i</v>
      </c>
      <c r="AH209" s="98">
        <f t="shared" si="123"/>
        <v>5.1418934767329203E-5</v>
      </c>
      <c r="AI209" s="98">
        <f t="shared" si="124"/>
        <v>1.5707963267948966</v>
      </c>
      <c r="AJ209" s="98" t="str">
        <f t="shared" si="110"/>
        <v>1+0.0517412400826108i</v>
      </c>
      <c r="AK209" s="98">
        <f t="shared" si="125"/>
        <v>1.0013376832643852</v>
      </c>
      <c r="AL209" s="98">
        <f t="shared" si="126"/>
        <v>5.1695140986177654E-2</v>
      </c>
      <c r="AM209" s="98" t="str">
        <f t="shared" si="111"/>
        <v>1+7.6607471345842i</v>
      </c>
      <c r="AN209" s="98">
        <f t="shared" si="127"/>
        <v>7.7257392306523034</v>
      </c>
      <c r="AO209" s="98">
        <f t="shared" si="128"/>
        <v>1.4409946887726461</v>
      </c>
      <c r="AP209" s="168" t="str">
        <f t="shared" si="129"/>
        <v>-9.93344840240504+1.82294962951173i</v>
      </c>
      <c r="AQ209" s="98">
        <f t="shared" si="130"/>
        <v>20.085854502705921</v>
      </c>
      <c r="AR209" s="169">
        <f t="shared" si="131"/>
        <v>169.60100056759845</v>
      </c>
      <c r="AS209" s="168" t="str">
        <f t="shared" si="132"/>
        <v>3.2254285415917+22.7101618739735i</v>
      </c>
      <c r="AT209" s="190">
        <f t="shared" si="133"/>
        <v>27.211135710828632</v>
      </c>
      <c r="AU209" s="169">
        <f t="shared" si="134"/>
        <v>81.916583764246127</v>
      </c>
      <c r="AV209" s="225"/>
      <c r="AX209">
        <f t="shared" si="135"/>
        <v>0</v>
      </c>
      <c r="AY209">
        <f t="shared" si="136"/>
        <v>0</v>
      </c>
    </row>
    <row r="210" spans="14:51" x14ac:dyDescent="0.25">
      <c r="N210" s="170">
        <v>92</v>
      </c>
      <c r="O210" s="199">
        <f t="shared" si="137"/>
        <v>831.7637711026714</v>
      </c>
      <c r="P210" s="189" t="str">
        <f t="shared" si="103"/>
        <v>87</v>
      </c>
      <c r="Q210" s="160" t="str">
        <f t="shared" si="104"/>
        <v>1+39.1959442922745i</v>
      </c>
      <c r="R210" s="160">
        <f t="shared" si="112"/>
        <v>39.208698638989361</v>
      </c>
      <c r="S210" s="160">
        <f t="shared" si="113"/>
        <v>1.5452890164251478</v>
      </c>
      <c r="T210" s="160" t="str">
        <f t="shared" si="105"/>
        <v>1+0.0261306295281829i</v>
      </c>
      <c r="U210" s="160">
        <f t="shared" si="114"/>
        <v>1.0003413466410049</v>
      </c>
      <c r="V210" s="160">
        <f t="shared" si="115"/>
        <v>2.6124684546931121E-2</v>
      </c>
      <c r="W210" s="98" t="str">
        <f t="shared" si="106"/>
        <v>1-0.00370183918315926i</v>
      </c>
      <c r="X210" s="160">
        <f t="shared" si="116"/>
        <v>1.0000068517831955</v>
      </c>
      <c r="Y210" s="160">
        <f t="shared" si="117"/>
        <v>-3.701822273774023E-3</v>
      </c>
      <c r="Z210" s="98" t="str">
        <f t="shared" si="107"/>
        <v>0.999995080313096+0.00777647534758725i</v>
      </c>
      <c r="AA210" s="160">
        <f t="shared" si="118"/>
        <v>1.0000253167891437</v>
      </c>
      <c r="AB210" s="160">
        <f t="shared" si="119"/>
        <v>7.7763568519010739E-3</v>
      </c>
      <c r="AC210" s="171" t="str">
        <f t="shared" si="120"/>
        <v>0.0891019352691347-2.21782266909408i</v>
      </c>
      <c r="AD210" s="190">
        <f t="shared" si="121"/>
        <v>6.9255405025587873</v>
      </c>
      <c r="AE210" s="169">
        <f t="shared" si="122"/>
        <v>-87.699355823829677</v>
      </c>
      <c r="AF210" s="98" t="str">
        <f t="shared" si="108"/>
        <v>-0.0000673063927557778</v>
      </c>
      <c r="AG210" s="98" t="str">
        <f t="shared" si="109"/>
        <v>0.0000526166356179492i</v>
      </c>
      <c r="AH210" s="98">
        <f t="shared" si="123"/>
        <v>5.2616635617949203E-5</v>
      </c>
      <c r="AI210" s="98">
        <f t="shared" si="124"/>
        <v>1.5707963267948966</v>
      </c>
      <c r="AJ210" s="98" t="str">
        <f t="shared" si="110"/>
        <v>1+0.0529464483884517i</v>
      </c>
      <c r="AK210" s="98">
        <f t="shared" si="125"/>
        <v>1.0014006822431023</v>
      </c>
      <c r="AL210" s="98">
        <f t="shared" si="126"/>
        <v>5.2897056047454601E-2</v>
      </c>
      <c r="AM210" s="98" t="str">
        <f t="shared" si="111"/>
        <v>1+7.83918885845488i</v>
      </c>
      <c r="AN210" s="98">
        <f t="shared" si="127"/>
        <v>7.9027135819617769</v>
      </c>
      <c r="AO210" s="98">
        <f t="shared" si="128"/>
        <v>1.4439173652295629</v>
      </c>
      <c r="AP210" s="168" t="str">
        <f t="shared" si="129"/>
        <v>-9.93219859814412+1.80505929309566i</v>
      </c>
      <c r="AQ210" s="98">
        <f t="shared" si="130"/>
        <v>20.082031987014453</v>
      </c>
      <c r="AR210" s="169">
        <f t="shared" si="131"/>
        <v>169.69959293311769</v>
      </c>
      <c r="AS210" s="168" t="str">
        <f t="shared" si="132"/>
        <v>3.11832330271446+22.1886894811988i</v>
      </c>
      <c r="AT210" s="190">
        <f t="shared" si="133"/>
        <v>27.007572489573231</v>
      </c>
      <c r="AU210" s="169">
        <f t="shared" si="134"/>
        <v>82.000237109288008</v>
      </c>
      <c r="AV210" s="225"/>
      <c r="AX210">
        <f t="shared" si="135"/>
        <v>0</v>
      </c>
      <c r="AY210">
        <f t="shared" si="136"/>
        <v>0</v>
      </c>
    </row>
    <row r="211" spans="14:51" x14ac:dyDescent="0.25">
      <c r="N211" s="170">
        <v>93</v>
      </c>
      <c r="O211" s="199">
        <f t="shared" si="137"/>
        <v>851.13803820237763</v>
      </c>
      <c r="P211" s="189" t="str">
        <f t="shared" ref="P211:P274" si="138">COMPLEX(Adc,0)</f>
        <v>87</v>
      </c>
      <c r="Q211" s="160" t="str">
        <f t="shared" ref="Q211:Q274" si="139">IMSUM(COMPLEX(1,0),IMDIV(COMPLEX(0,2*PI()*O211),COMPLEX(wp_lf,0)))</f>
        <v>1+40.1089351201114i</v>
      </c>
      <c r="R211" s="160">
        <f t="shared" si="112"/>
        <v>40.121399233692053</v>
      </c>
      <c r="S211" s="160">
        <f t="shared" si="113"/>
        <v>1.5458693904142575</v>
      </c>
      <c r="T211" s="160" t="str">
        <f t="shared" ref="T211:T274" si="140">IMSUM(COMPLEX(1,0),IMDIV(COMPLEX(0,2*PI()*O211),COMPLEX(wz_esr,0)))</f>
        <v>1+0.0267392900800742i</v>
      </c>
      <c r="U211" s="160">
        <f t="shared" si="114"/>
        <v>1.0003574309385552</v>
      </c>
      <c r="V211" s="160">
        <f t="shared" si="115"/>
        <v>2.6732920040815737E-2</v>
      </c>
      <c r="W211" s="98" t="str">
        <f t="shared" ref="W211:W274" si="141">IMSUB(COMPLEX(1,0),IMDIV(COMPLEX(0,2*PI()*O211),COMPLEX(wz_rhp,0)))</f>
        <v>1-0.00378806609467719i</v>
      </c>
      <c r="X211" s="160">
        <f t="shared" si="116"/>
        <v>1.0000071746966306</v>
      </c>
      <c r="Y211" s="160">
        <f t="shared" si="117"/>
        <v>-3.7880479759514899E-3</v>
      </c>
      <c r="Z211" s="98" t="str">
        <f t="shared" ref="Z211:Z274" si="142">IF(Dc_Mode_Loop="CCM",IMSUM(COMPLEX(1,0),IMDIV(COMPLEX(0,2*PI()*O211),COMPLEX(Q*(wsl/2),0)),IMDIV(IMPOWER(COMPLEX(0,2*PI()*O211),2),IMPOWER(COMPLEX(wsl/2,0),2))),COMPLEX(1,0))</f>
        <v>0.999994848455395+0.00795761272783008i</v>
      </c>
      <c r="AA211" s="160">
        <f t="shared" si="118"/>
        <v>1.0000265099174395</v>
      </c>
      <c r="AB211" s="160">
        <f t="shared" si="119"/>
        <v>7.9574857575946453E-3</v>
      </c>
      <c r="AC211" s="171" t="str">
        <f t="shared" si="120"/>
        <v>0.0865572458346211-2.16742434318063i</v>
      </c>
      <c r="AD211" s="190">
        <f t="shared" si="121"/>
        <v>6.7257997499554136</v>
      </c>
      <c r="AE211" s="169">
        <f t="shared" si="122"/>
        <v>-87.713077767859588</v>
      </c>
      <c r="AF211" s="98" t="str">
        <f t="shared" ref="AF211:AF274" si="143">COMPLEX(Adc_ea,0)</f>
        <v>-0.0000673063927557778</v>
      </c>
      <c r="AG211" s="98" t="str">
        <f t="shared" ref="AG211:AG274" si="144">COMPLEX(0,2*PI()*O211*wp0_ea)</f>
        <v>0.0000538422345052374i</v>
      </c>
      <c r="AH211" s="98">
        <f t="shared" si="123"/>
        <v>5.3842234505237403E-5</v>
      </c>
      <c r="AI211" s="98">
        <f t="shared" si="124"/>
        <v>1.5707963267948966</v>
      </c>
      <c r="AJ211" s="98" t="str">
        <f t="shared" ref="AJ211:AJ274" si="145">IMSUM(COMPLEX(1,0),IMDIV(COMPLEX(0,2*PI()*O211),COMPLEX(wp1_ea,0)))</f>
        <v>1+0.0541797296020574i</v>
      </c>
      <c r="AK211" s="98">
        <f t="shared" si="125"/>
        <v>1.0014666460245953</v>
      </c>
      <c r="AL211" s="98">
        <f t="shared" si="126"/>
        <v>5.4126808940387509E-2</v>
      </c>
      <c r="AM211" s="98" t="str">
        <f t="shared" ref="AM211:AM274" si="146">IMSUM(COMPLEX(1,0),IMDIV(COMPLEX(0,2*PI()*O211),COMPLEX(wz_ea,0)))</f>
        <v>1+8.02178702402226i</v>
      </c>
      <c r="AN211" s="98">
        <f t="shared" si="127"/>
        <v>8.0838769819172711</v>
      </c>
      <c r="AO211" s="98">
        <f t="shared" si="128"/>
        <v>1.4467756208324944</v>
      </c>
      <c r="AP211" s="168" t="str">
        <f t="shared" si="129"/>
        <v>-9.9308902294556+1.78811980237014i</v>
      </c>
      <c r="AQ211" s="98">
        <f t="shared" si="130"/>
        <v>20.078328929869119</v>
      </c>
      <c r="AR211" s="169">
        <f t="shared" si="131"/>
        <v>169.79289926532618</v>
      </c>
      <c r="AS211" s="168" t="str">
        <f t="shared" si="132"/>
        <v>3.01602388123275+21.6792279580922i</v>
      </c>
      <c r="AT211" s="190">
        <f t="shared" si="133"/>
        <v>26.804128679824515</v>
      </c>
      <c r="AU211" s="169">
        <f t="shared" si="134"/>
        <v>82.079821497466597</v>
      </c>
      <c r="AV211" s="225"/>
      <c r="AX211">
        <f t="shared" si="135"/>
        <v>0</v>
      </c>
      <c r="AY211">
        <f t="shared" si="136"/>
        <v>0</v>
      </c>
    </row>
    <row r="212" spans="14:51" x14ac:dyDescent="0.25">
      <c r="N212" s="170">
        <v>94</v>
      </c>
      <c r="O212" s="199">
        <f t="shared" si="137"/>
        <v>870.96358995608091</v>
      </c>
      <c r="P212" s="189" t="str">
        <f t="shared" si="138"/>
        <v>87</v>
      </c>
      <c r="Q212" s="160" t="str">
        <f t="shared" si="139"/>
        <v>1+41.0431922362533i</v>
      </c>
      <c r="R212" s="160">
        <f t="shared" ref="R212:R275" si="147">IMABS(Q212)</f>
        <v>41.055372717124889</v>
      </c>
      <c r="S212" s="160">
        <f t="shared" ref="S212:S275" si="148">IMARGUMENT(Q212)</f>
        <v>1.5464365697086428</v>
      </c>
      <c r="T212" s="160" t="str">
        <f t="shared" si="140"/>
        <v>1+0.0273621281575022i</v>
      </c>
      <c r="U212" s="160">
        <f t="shared" ref="U212:U275" si="149">IMABS(T212)</f>
        <v>1.0003742729885188</v>
      </c>
      <c r="V212" s="160">
        <f t="shared" ref="V212:V275" si="150">IMARGUMENT(T212)</f>
        <v>2.7355302675376007E-2</v>
      </c>
      <c r="W212" s="98" t="str">
        <f t="shared" si="141"/>
        <v>1-0.00387630148897948i</v>
      </c>
      <c r="X212" s="160">
        <f t="shared" ref="X212:X275" si="151">IMABS(W212)</f>
        <v>1.0000075128283954</v>
      </c>
      <c r="Y212" s="160">
        <f t="shared" ref="Y212:Y275" si="152">IMARGUMENT(W212)</f>
        <v>-3.8762820744229838E-3</v>
      </c>
      <c r="Z212" s="98" t="str">
        <f t="shared" si="142"/>
        <v>0.999994605670578+0.00814296933967264i</v>
      </c>
      <c r="AA212" s="160">
        <f t="shared" ref="AA212:AA275" si="153">IMABS(Z212)</f>
        <v>1.000027759274672</v>
      </c>
      <c r="AB212" s="160">
        <f t="shared" ref="AB212:AB275" si="154">IMARGUMENT(Z212)</f>
        <v>8.1428332888160131E-3</v>
      </c>
      <c r="AC212" s="171" t="str">
        <f t="shared" ref="AC212:AC275" si="155">(IMDIV(IMPRODUCT(P212,T212,W212),IMPRODUCT(Q212,Z212)))</f>
        <v>0.0841269317366302-2.11816950553814i</v>
      </c>
      <c r="AD212" s="190">
        <f t="shared" ref="AD212:AD275" si="156">20*LOG(IMABS(AC212))</f>
        <v>6.5260594990787748</v>
      </c>
      <c r="AE212" s="169">
        <f t="shared" ref="AE212:AE275" si="157">(180/PI())*IMARGUMENT(AC212)</f>
        <v>-87.725589922186217</v>
      </c>
      <c r="AF212" s="98" t="str">
        <f t="shared" si="143"/>
        <v>-0.0000673063927557778</v>
      </c>
      <c r="AG212" s="98" t="str">
        <f t="shared" si="144"/>
        <v>0.0000550963812579464i</v>
      </c>
      <c r="AH212" s="98">
        <f t="shared" ref="AH212:AH275" si="158">IMABS(AG212)</f>
        <v>5.5096381257946399E-5</v>
      </c>
      <c r="AI212" s="98">
        <f t="shared" ref="AI212:AI275" si="159">IMARGUMENT(AG212)</f>
        <v>1.5707963267948966</v>
      </c>
      <c r="AJ212" s="98" t="str">
        <f t="shared" si="145"/>
        <v>1+0.0554417376254513i</v>
      </c>
      <c r="AK212" s="98">
        <f t="shared" ref="AK212:AK275" si="160">IMABS(AJ212)</f>
        <v>1.0015357139268322</v>
      </c>
      <c r="AL212" s="98">
        <f t="shared" ref="AL212:AL275" si="161">IMARGUMENT(AJ212)</f>
        <v>5.538503680983721E-2</v>
      </c>
      <c r="AM212" s="98" t="str">
        <f t="shared" si="146"/>
        <v>1+8.20863844725064i</v>
      </c>
      <c r="AN212" s="98">
        <f t="shared" ref="AN212:AN275" si="162">IMABS(AM212)</f>
        <v>8.2693255563970514</v>
      </c>
      <c r="AO212" s="98">
        <f t="shared" ref="AO212:AO275" si="163">IMARGUMENT(AM212)</f>
        <v>1.4495707841596972</v>
      </c>
      <c r="AP212" s="168" t="str">
        <f t="shared" ref="AP212:AP275" si="164">IMPRODUCT(AF212,IMDIV(AM212,IMPRODUCT(AG212,AJ212)))</f>
        <v>-9.92952056865322+1.77212173353279i</v>
      </c>
      <c r="AQ212" s="98">
        <f t="shared" ref="AQ212:AQ275" si="165">20*LOG(IMABS(AP212))</f>
        <v>20.074737795889078</v>
      </c>
      <c r="AR212" s="169">
        <f t="shared" ref="AR212:AR275" si="166">(180/PI())*IMARGUMENT(AP212)</f>
        <v>169.88095918043948</v>
      </c>
      <c r="AS212" s="168" t="str">
        <f t="shared" ref="AS212:AS275" si="167">IMPRODUCT(AC212,AP212)</f>
        <v>2.91831411701399+21.1814908372409i</v>
      </c>
      <c r="AT212" s="190">
        <f t="shared" ref="AT212:AT275" si="168">20*LOG(IMABS(AS212))</f>
        <v>26.600797294967858</v>
      </c>
      <c r="AU212" s="169">
        <f t="shared" ref="AU212:AU275" si="169">(180/PI())*IMARGUMENT(AS212)</f>
        <v>82.155369258253245</v>
      </c>
      <c r="AV212" s="225"/>
      <c r="AX212">
        <f t="shared" ref="AX212:AX275" si="170">SUM((AT213&lt;0)*(AT212&gt;0))*O212</f>
        <v>0</v>
      </c>
      <c r="AY212">
        <f t="shared" ref="AY212:AY275" si="171">IF(AX212&gt;0,AU212,0)</f>
        <v>0</v>
      </c>
    </row>
    <row r="213" spans="14:51" x14ac:dyDescent="0.25">
      <c r="N213" s="170">
        <v>95</v>
      </c>
      <c r="O213" s="199">
        <f t="shared" si="137"/>
        <v>891.25093813374656</v>
      </c>
      <c r="P213" s="189" t="str">
        <f t="shared" si="138"/>
        <v>87</v>
      </c>
      <c r="Q213" s="160" t="str">
        <f t="shared" si="139"/>
        <v>1+41.99921099619i</v>
      </c>
      <c r="R213" s="160">
        <f t="shared" si="147"/>
        <v>42.011114294939709</v>
      </c>
      <c r="S213" s="160">
        <f t="shared" si="148"/>
        <v>1.5469908535737791</v>
      </c>
      <c r="T213" s="160" t="str">
        <f t="shared" si="140"/>
        <v>1+0.0279994739974599i</v>
      </c>
      <c r="U213" s="160">
        <f t="shared" si="149"/>
        <v>1.0003919084759405</v>
      </c>
      <c r="V213" s="160">
        <f t="shared" si="150"/>
        <v>2.7992160516328978E-2</v>
      </c>
      <c r="W213" s="98" t="str">
        <f t="shared" si="141"/>
        <v>1-0.00396659214964016i</v>
      </c>
      <c r="X213" s="160">
        <f t="shared" si="151"/>
        <v>1.0000078668956969</v>
      </c>
      <c r="Y213" s="160">
        <f t="shared" si="152"/>
        <v>-3.9665713465769107E-3</v>
      </c>
      <c r="Z213" s="98" t="str">
        <f t="shared" si="142"/>
        <v>0.999994351443664+0.00833264346164407i</v>
      </c>
      <c r="AA213" s="160">
        <f t="shared" si="153"/>
        <v>1.0000290675106864</v>
      </c>
      <c r="AB213" s="160">
        <f t="shared" si="154"/>
        <v>8.332497680751165E-3</v>
      </c>
      <c r="AC213" s="171" t="str">
        <f t="shared" si="155"/>
        <v>0.0818058567360897-2.07003242117476i</v>
      </c>
      <c r="AD213" s="190">
        <f t="shared" si="156"/>
        <v>6.3263202997449497</v>
      </c>
      <c r="AE213" s="169">
        <f t="shared" si="157"/>
        <v>-87.736898945285844</v>
      </c>
      <c r="AF213" s="98" t="str">
        <f t="shared" si="143"/>
        <v>-0.0000673063927557778</v>
      </c>
      <c r="AG213" s="98" t="str">
        <f t="shared" si="144"/>
        <v>0.0000563797408412852i</v>
      </c>
      <c r="AH213" s="98">
        <f t="shared" si="158"/>
        <v>5.63797408412852E-5</v>
      </c>
      <c r="AI213" s="98">
        <f t="shared" si="159"/>
        <v>1.5707963267948966</v>
      </c>
      <c r="AJ213" s="98" t="str">
        <f t="shared" si="145"/>
        <v>1+0.0567331415919926i</v>
      </c>
      <c r="AK213" s="98">
        <f t="shared" si="160"/>
        <v>1.0016080317943228</v>
      </c>
      <c r="AL213" s="98">
        <f t="shared" si="161"/>
        <v>5.667239084026595E-2</v>
      </c>
      <c r="AM213" s="98" t="str">
        <f t="shared" si="146"/>
        <v>1+8.39984219923797i</v>
      </c>
      <c r="AN213" s="98">
        <f t="shared" si="162"/>
        <v>8.4591576987368526</v>
      </c>
      <c r="AO213" s="98">
        <f t="shared" si="163"/>
        <v>1.4523041624427249</v>
      </c>
      <c r="AP213" s="168" t="str">
        <f t="shared" si="164"/>
        <v>-9.92808676260029+1.75705613062547i</v>
      </c>
      <c r="AQ213" s="98">
        <f t="shared" si="165"/>
        <v>20.07125126144766</v>
      </c>
      <c r="AR213" s="169">
        <f t="shared" si="166"/>
        <v>169.96381026718697</v>
      </c>
      <c r="AS213" s="168" t="str">
        <f t="shared" si="167"/>
        <v>2.82498751285385+20.6951989609178i</v>
      </c>
      <c r="AT213" s="190">
        <f t="shared" si="168"/>
        <v>26.39757156119262</v>
      </c>
      <c r="AU213" s="169">
        <f t="shared" si="169"/>
        <v>82.226911321901113</v>
      </c>
      <c r="AV213" s="225"/>
      <c r="AX213">
        <f t="shared" si="170"/>
        <v>0</v>
      </c>
      <c r="AY213">
        <f t="shared" si="171"/>
        <v>0</v>
      </c>
    </row>
    <row r="214" spans="14:51" x14ac:dyDescent="0.25">
      <c r="N214" s="170">
        <v>96</v>
      </c>
      <c r="O214" s="199">
        <f t="shared" si="137"/>
        <v>912.01083935590987</v>
      </c>
      <c r="P214" s="189" t="str">
        <f t="shared" si="138"/>
        <v>87</v>
      </c>
      <c r="Q214" s="160" t="str">
        <f t="shared" si="139"/>
        <v>1+42.9774982937219i</v>
      </c>
      <c r="R214" s="160">
        <f t="shared" si="147"/>
        <v>42.989130714482577</v>
      </c>
      <c r="S214" s="160">
        <f t="shared" si="148"/>
        <v>1.547532534535184</v>
      </c>
      <c r="T214" s="160" t="str">
        <f t="shared" si="140"/>
        <v>1+0.0286516655291479i</v>
      </c>
      <c r="U214" s="160">
        <f t="shared" si="149"/>
        <v>1.0004103747650732</v>
      </c>
      <c r="V214" s="160">
        <f t="shared" si="150"/>
        <v>2.8643829166534032E-2</v>
      </c>
      <c r="W214" s="98" t="str">
        <f t="shared" si="141"/>
        <v>1-0.00405898594996262i</v>
      </c>
      <c r="X214" s="160">
        <f t="shared" si="151"/>
        <v>1.0000082376495416</v>
      </c>
      <c r="Y214" s="160">
        <f t="shared" si="152"/>
        <v>-4.0589636590886574E-3</v>
      </c>
      <c r="Z214" s="98" t="str">
        <f t="shared" si="142"/>
        <v>0.999994085235405+0.0085267356614744i</v>
      </c>
      <c r="AA214" s="160">
        <f t="shared" si="153"/>
        <v>1.0000304374001998</v>
      </c>
      <c r="AB214" s="160">
        <f t="shared" si="154"/>
        <v>8.5265794546874139E-3</v>
      </c>
      <c r="AC214" s="171" t="str">
        <f t="shared" si="155"/>
        <v>0.0795891146539021-2.02298792239194i</v>
      </c>
      <c r="AD214" s="190">
        <f t="shared" si="156"/>
        <v>6.1265827039765286</v>
      </c>
      <c r="AE214" s="169">
        <f t="shared" si="157"/>
        <v>-87.747010871012534</v>
      </c>
      <c r="AF214" s="98" t="str">
        <f t="shared" si="143"/>
        <v>-0.0000673063927557778</v>
      </c>
      <c r="AG214" s="98" t="str">
        <f t="shared" si="144"/>
        <v>0.0000576929937094921i</v>
      </c>
      <c r="AH214" s="98">
        <f t="shared" si="158"/>
        <v>5.7692993709492102E-5</v>
      </c>
      <c r="AI214" s="98">
        <f t="shared" si="159"/>
        <v>1.5707963267948966</v>
      </c>
      <c r="AJ214" s="98" t="str">
        <f t="shared" si="145"/>
        <v>1+0.0580546262211577i</v>
      </c>
      <c r="AK214" s="98">
        <f t="shared" si="160"/>
        <v>1.001683752301932</v>
      </c>
      <c r="AL214" s="98">
        <f t="shared" si="161"/>
        <v>5.7989536526103495E-2</v>
      </c>
      <c r="AM214" s="98" t="str">
        <f t="shared" si="146"/>
        <v>1+8.59549965874435i</v>
      </c>
      <c r="AN214" s="98">
        <f t="shared" si="162"/>
        <v>8.6534741221935967</v>
      </c>
      <c r="AO214" s="98">
        <f t="shared" si="163"/>
        <v>1.454977041490815</v>
      </c>
      <c r="AP214" s="168" t="str">
        <f t="shared" si="164"/>
        <v>-9.92658582709334+1.74291449858515i</v>
      </c>
      <c r="AQ214" s="98">
        <f t="shared" si="165"/>
        <v>20.067862201511421</v>
      </c>
      <c r="AR214" s="169">
        <f t="shared" si="166"/>
        <v>170.04148806698907</v>
      </c>
      <c r="AS214" s="168" t="str">
        <f t="shared" si="167"/>
        <v>2.73584680288523+20.2200802606567i</v>
      </c>
      <c r="AT214" s="190">
        <f t="shared" si="168"/>
        <v>26.194444905487963</v>
      </c>
      <c r="AU214" s="169">
        <f t="shared" si="169"/>
        <v>82.294477195976583</v>
      </c>
      <c r="AV214" s="225"/>
      <c r="AX214">
        <f t="shared" si="170"/>
        <v>0</v>
      </c>
      <c r="AY214">
        <f t="shared" si="171"/>
        <v>0</v>
      </c>
    </row>
    <row r="215" spans="14:51" x14ac:dyDescent="0.25">
      <c r="N215" s="170">
        <v>97</v>
      </c>
      <c r="O215" s="199">
        <f t="shared" si="137"/>
        <v>933.25430079699106</v>
      </c>
      <c r="P215" s="189" t="str">
        <f t="shared" si="138"/>
        <v>87</v>
      </c>
      <c r="Q215" s="160" t="str">
        <f t="shared" si="139"/>
        <v>1+43.9785728297237i</v>
      </c>
      <c r="R215" s="160">
        <f t="shared" si="147"/>
        <v>43.989940533482333</v>
      </c>
      <c r="S215" s="160">
        <f t="shared" si="148"/>
        <v>1.548061898527032</v>
      </c>
      <c r="T215" s="160" t="str">
        <f t="shared" si="140"/>
        <v>1+0.0293190485531491i</v>
      </c>
      <c r="U215" s="160">
        <f t="shared" si="149"/>
        <v>1.0004297109782685</v>
      </c>
      <c r="V215" s="160">
        <f t="shared" si="150"/>
        <v>2.9310651934104575E-2</v>
      </c>
      <c r="W215" s="98" t="str">
        <f t="shared" si="141"/>
        <v>1-0.00415353187836279i</v>
      </c>
      <c r="X215" s="160">
        <f t="shared" si="151"/>
        <v>1.0000086258763294</v>
      </c>
      <c r="Y215" s="160">
        <f t="shared" si="152"/>
        <v>-4.1535079932721354E-3</v>
      </c>
      <c r="Z215" s="98" t="str">
        <f t="shared" si="142"/>
        <v>0.999993806481138+0.00872534884941716i</v>
      </c>
      <c r="AA215" s="160">
        <f t="shared" si="153"/>
        <v>1.0000318718486825</v>
      </c>
      <c r="AB215" s="160">
        <f t="shared" si="154"/>
        <v>8.7251814711143891E-3</v>
      </c>
      <c r="AC215" s="171" t="str">
        <f t="shared" si="155"/>
        <v>0.0774720191092873-1.97701139712708i</v>
      </c>
      <c r="AD215" s="190">
        <f t="shared" si="156"/>
        <v>5.9268472671634678</v>
      </c>
      <c r="AE215" s="169">
        <f t="shared" si="157"/>
        <v>-87.755931111976238</v>
      </c>
      <c r="AF215" s="98" t="str">
        <f t="shared" si="143"/>
        <v>-0.0000673063927557778</v>
      </c>
      <c r="AG215" s="98" t="str">
        <f t="shared" si="144"/>
        <v>0.0000590368361666209i</v>
      </c>
      <c r="AH215" s="98">
        <f t="shared" si="158"/>
        <v>5.9036836166620897E-5</v>
      </c>
      <c r="AI215" s="98">
        <f t="shared" si="159"/>
        <v>1.5707963267948966</v>
      </c>
      <c r="AJ215" s="98" t="str">
        <f t="shared" si="145"/>
        <v>1+0.0594068921815892i</v>
      </c>
      <c r="AK215" s="98">
        <f t="shared" si="160"/>
        <v>1.0017630352726512</v>
      </c>
      <c r="AL215" s="98">
        <f t="shared" si="161"/>
        <v>5.9337153944442361E-2</v>
      </c>
      <c r="AM215" s="98" t="str">
        <f t="shared" si="146"/>
        <v>1+8.79571456594471i</v>
      </c>
      <c r="AN215" s="98">
        <f t="shared" si="162"/>
        <v>8.8523779136213978</v>
      </c>
      <c r="AO215" s="98">
        <f t="shared" si="163"/>
        <v>1.4575906856510945</v>
      </c>
      <c r="AP215" s="168" t="str">
        <f t="shared" si="164"/>
        <v>-9.9250146410095+1.72968879638653i</v>
      </c>
      <c r="AQ215" s="98">
        <f t="shared" si="165"/>
        <v>20.064563676717913</v>
      </c>
      <c r="AR215" s="169">
        <f t="shared" si="166"/>
        <v>170.11402605605304</v>
      </c>
      <c r="AS215" s="168" t="str">
        <f t="shared" si="167"/>
        <v>2.65070354001095+19.7558695454157i</v>
      </c>
      <c r="AT215" s="190">
        <f t="shared" si="168"/>
        <v>25.991410943881384</v>
      </c>
      <c r="AU215" s="169">
        <f t="shared" si="169"/>
        <v>82.358094944076782</v>
      </c>
      <c r="AV215" s="225"/>
      <c r="AX215">
        <f t="shared" si="170"/>
        <v>0</v>
      </c>
      <c r="AY215">
        <f t="shared" si="171"/>
        <v>0</v>
      </c>
    </row>
    <row r="216" spans="14:51" x14ac:dyDescent="0.25">
      <c r="N216" s="170">
        <v>98</v>
      </c>
      <c r="O216" s="199">
        <f t="shared" si="137"/>
        <v>954.99258602143675</v>
      </c>
      <c r="P216" s="189" t="str">
        <f t="shared" si="138"/>
        <v>87</v>
      </c>
      <c r="Q216" s="160" t="str">
        <f t="shared" si="139"/>
        <v>1+45.0029653871651i</v>
      </c>
      <c r="R216" s="160">
        <f t="shared" si="147"/>
        <v>45.014074394997607</v>
      </c>
      <c r="S216" s="160">
        <f t="shared" si="148"/>
        <v>1.5485792250377051</v>
      </c>
      <c r="T216" s="160" t="str">
        <f t="shared" si="140"/>
        <v>1+0.0300019769247767i</v>
      </c>
      <c r="U216" s="160">
        <f t="shared" si="149"/>
        <v>1.0004499580785613</v>
      </c>
      <c r="V216" s="160">
        <f t="shared" si="150"/>
        <v>2.9992980003905132E-2</v>
      </c>
      <c r="W216" s="98" t="str">
        <f t="shared" si="141"/>
        <v>1-0.00425028006434337i</v>
      </c>
      <c r="X216" s="160">
        <f t="shared" si="151"/>
        <v>1.0000090323995205</v>
      </c>
      <c r="Y216" s="160">
        <f t="shared" si="152"/>
        <v>-4.250254471020112E-3</v>
      </c>
      <c r="Z216" s="98" t="str">
        <f t="shared" si="142"/>
        <v>0.999993514589587+0.00892858833281353i</v>
      </c>
      <c r="AA216" s="160">
        <f t="shared" si="153"/>
        <v>1.0000333738985172</v>
      </c>
      <c r="AB216" s="160">
        <f t="shared" si="154"/>
        <v>8.9284089840507112E-3</v>
      </c>
      <c r="AC216" s="171" t="str">
        <f t="shared" si="155"/>
        <v>0.0754500937116295-1.93207877747883i</v>
      </c>
      <c r="AD216" s="190">
        <f t="shared" si="156"/>
        <v>5.7271145492310938</v>
      </c>
      <c r="AE216" s="169">
        <f t="shared" si="157"/>
        <v>-87.763664462655072</v>
      </c>
      <c r="AF216" s="98" t="str">
        <f t="shared" si="143"/>
        <v>-0.0000673063927557778</v>
      </c>
      <c r="AG216" s="98" t="str">
        <f t="shared" si="144"/>
        <v>0.0000604119807357302i</v>
      </c>
      <c r="AH216" s="98">
        <f t="shared" si="158"/>
        <v>6.0411980735730198E-5</v>
      </c>
      <c r="AI216" s="98">
        <f t="shared" si="159"/>
        <v>1.5707963267948966</v>
      </c>
      <c r="AJ216" s="98" t="str">
        <f t="shared" si="145"/>
        <v>1+0.0607906564625987i</v>
      </c>
      <c r="AK216" s="98">
        <f t="shared" si="160"/>
        <v>1.0018460480099494</v>
      </c>
      <c r="AL216" s="98">
        <f t="shared" si="161"/>
        <v>6.071593802983568E-2</v>
      </c>
      <c r="AM216" s="98" t="str">
        <f t="shared" si="146"/>
        <v>1+9.00059307743299i</v>
      </c>
      <c r="AN216" s="98">
        <f t="shared" si="162"/>
        <v>9.0559745883883025</v>
      </c>
      <c r="AO216" s="98">
        <f t="shared" si="163"/>
        <v>1.460146337801852</v>
      </c>
      <c r="AP216" s="168" t="str">
        <f t="shared" si="164"/>
        <v>-9.92336994020839+1.71737143026234i</v>
      </c>
      <c r="AQ216" s="98">
        <f t="shared" si="165"/>
        <v>20.061348920680892</v>
      </c>
      <c r="AR216" s="169">
        <f t="shared" si="166"/>
        <v>170.18145562924212</v>
      </c>
      <c r="AS216" s="168" t="str">
        <f t="shared" si="167"/>
        <v>2.56937770153444+19.302308297899i</v>
      </c>
      <c r="AT216" s="190">
        <f t="shared" si="168"/>
        <v>25.788463469912003</v>
      </c>
      <c r="AU216" s="169">
        <f t="shared" si="169"/>
        <v>82.417791166587065</v>
      </c>
      <c r="AV216" s="225"/>
      <c r="AX216">
        <f t="shared" si="170"/>
        <v>0</v>
      </c>
      <c r="AY216">
        <f t="shared" si="171"/>
        <v>0</v>
      </c>
    </row>
    <row r="217" spans="14:51" x14ac:dyDescent="0.25">
      <c r="N217" s="170">
        <v>99</v>
      </c>
      <c r="O217" s="199">
        <f t="shared" si="137"/>
        <v>977.23722095581138</v>
      </c>
      <c r="P217" s="189" t="str">
        <f t="shared" si="138"/>
        <v>87</v>
      </c>
      <c r="Q217" s="160" t="str">
        <f t="shared" si="139"/>
        <v>1+46.0512191125394i</v>
      </c>
      <c r="R217" s="160">
        <f t="shared" si="147"/>
        <v>46.062075308773423</v>
      </c>
      <c r="S217" s="160">
        <f t="shared" si="148"/>
        <v>1.5490847872523288</v>
      </c>
      <c r="T217" s="160" t="str">
        <f t="shared" si="140"/>
        <v>1+0.0307008127416928i</v>
      </c>
      <c r="U217" s="160">
        <f t="shared" si="149"/>
        <v>1.0004711589561193</v>
      </c>
      <c r="V217" s="160">
        <f t="shared" si="150"/>
        <v>3.069117261247517E-2</v>
      </c>
      <c r="W217" s="98" t="str">
        <f t="shared" si="141"/>
        <v>1-0.00434928180507316i</v>
      </c>
      <c r="X217" s="160">
        <f t="shared" si="151"/>
        <v>1.0000094580813823</v>
      </c>
      <c r="Y217" s="160">
        <f t="shared" si="152"/>
        <v>-4.3492543813472119E-3</v>
      </c>
      <c r="Z217" s="98" t="str">
        <f t="shared" si="142"/>
        <v>0.99999320894161+0.00913656187192779i</v>
      </c>
      <c r="AA217" s="160">
        <f t="shared" si="153"/>
        <v>1.0000349467354519</v>
      </c>
      <c r="AB217" s="160">
        <f t="shared" si="154"/>
        <v>9.1363696966249765E-3</v>
      </c>
      <c r="AC217" s="171" t="str">
        <f t="shared" si="155"/>
        <v>0.0735190626861244-1.88816652841625i</v>
      </c>
      <c r="AD217" s="190">
        <f t="shared" si="156"/>
        <v>5.5273851158171894</v>
      </c>
      <c r="AE217" s="169">
        <f t="shared" si="157"/>
        <v>-87.770215102244947</v>
      </c>
      <c r="AF217" s="98" t="str">
        <f t="shared" si="143"/>
        <v>-0.0000673063927557778</v>
      </c>
      <c r="AG217" s="98" t="str">
        <f t="shared" si="144"/>
        <v>0.0000618191565366727i</v>
      </c>
      <c r="AH217" s="98">
        <f t="shared" si="158"/>
        <v>6.1819156536672702E-5</v>
      </c>
      <c r="AI217" s="98">
        <f t="shared" si="159"/>
        <v>1.5707963267948966</v>
      </c>
      <c r="AJ217" s="98" t="str">
        <f t="shared" si="145"/>
        <v>1+0.062206652754324i</v>
      </c>
      <c r="AK217" s="98">
        <f t="shared" si="160"/>
        <v>1.0019329656453555</v>
      </c>
      <c r="AL217" s="98">
        <f t="shared" si="161"/>
        <v>6.2126598850957476E-2</v>
      </c>
      <c r="AM217" s="98" t="str">
        <f t="shared" si="146"/>
        <v>1+9.21024382250785i</v>
      </c>
      <c r="AN217" s="98">
        <f t="shared" si="162"/>
        <v>9.2643721465647104</v>
      </c>
      <c r="AO217" s="98">
        <f t="shared" si="163"/>
        <v>1.4626452193763033</v>
      </c>
      <c r="AP217" s="168" t="str">
        <f t="shared" si="164"/>
        <v>-9.92164831118043+1.70595524698661i</v>
      </c>
      <c r="AQ217" s="98">
        <f t="shared" si="165"/>
        <v>20.05821132751198</v>
      </c>
      <c r="AR217" s="169">
        <f t="shared" si="166"/>
        <v>170.24380608558647</v>
      </c>
      <c r="AS217" s="168" t="str">
        <f t="shared" si="167"/>
        <v>2.49169731219684+18.8591444786314i</v>
      </c>
      <c r="AT217" s="190">
        <f t="shared" si="168"/>
        <v>25.585596443329152</v>
      </c>
      <c r="AU217" s="169">
        <f t="shared" si="169"/>
        <v>82.473590983341509</v>
      </c>
      <c r="AV217" s="225"/>
      <c r="AX217">
        <f t="shared" si="170"/>
        <v>0</v>
      </c>
      <c r="AY217">
        <f t="shared" si="171"/>
        <v>0</v>
      </c>
    </row>
    <row r="218" spans="14:51" x14ac:dyDescent="0.25">
      <c r="N218" s="170">
        <v>100</v>
      </c>
      <c r="O218" s="199">
        <f t="shared" si="137"/>
        <v>1000</v>
      </c>
      <c r="P218" s="189" t="str">
        <f t="shared" si="138"/>
        <v>87</v>
      </c>
      <c r="Q218" s="160" t="str">
        <f t="shared" si="139"/>
        <v>1+47.123889803847i</v>
      </c>
      <c r="R218" s="160">
        <f t="shared" si="147"/>
        <v>47.134498939154057</v>
      </c>
      <c r="S218" s="160">
        <f t="shared" si="148"/>
        <v>1.5495788521923426</v>
      </c>
      <c r="T218" s="160" t="str">
        <f t="shared" si="140"/>
        <v>1+0.031415926535898i</v>
      </c>
      <c r="U218" s="160">
        <f t="shared" si="149"/>
        <v>1.0004933585187405</v>
      </c>
      <c r="V218" s="160">
        <f t="shared" si="150"/>
        <v>3.1405597226420202E-2</v>
      </c>
      <c r="W218" s="98" t="str">
        <f t="shared" si="141"/>
        <v>1-0.00445058959258555i</v>
      </c>
      <c r="X218" s="160">
        <f t="shared" si="151"/>
        <v>1.000009903824818</v>
      </c>
      <c r="Y218" s="160">
        <f t="shared" si="152"/>
        <v>-4.4505602075494925E-3</v>
      </c>
      <c r="Z218" s="98" t="str">
        <f t="shared" si="142"/>
        <v>0.999992888888889+0.00934937973708323i</v>
      </c>
      <c r="AA218" s="160">
        <f t="shared" si="153"/>
        <v>1.0000365936953579</v>
      </c>
      <c r="AB218" s="160">
        <f t="shared" si="154"/>
        <v>9.349173817938974E-3</v>
      </c>
      <c r="AC218" s="171" t="str">
        <f t="shared" si="155"/>
        <v>0.0716748419143657-1.84525163667281i</v>
      </c>
      <c r="AD218" s="190">
        <f t="shared" si="156"/>
        <v>5.3276595394606563</v>
      </c>
      <c r="AE218" s="169">
        <f t="shared" si="157"/>
        <v>-87.775586597249571</v>
      </c>
      <c r="AF218" s="98" t="str">
        <f t="shared" si="143"/>
        <v>-0.0000673063927557778</v>
      </c>
      <c r="AG218" s="98" t="str">
        <f t="shared" si="144"/>
        <v>0.0000632591096726841i</v>
      </c>
      <c r="AH218" s="98">
        <f t="shared" si="158"/>
        <v>6.32591096726841E-5</v>
      </c>
      <c r="AI218" s="98">
        <f t="shared" si="159"/>
        <v>1.5707963267948966</v>
      </c>
      <c r="AJ218" s="98" t="str">
        <f t="shared" si="145"/>
        <v>1+0.063655631836742i</v>
      </c>
      <c r="AK218" s="98">
        <f t="shared" si="160"/>
        <v>1.0020239715019472</v>
      </c>
      <c r="AL218" s="98">
        <f t="shared" si="161"/>
        <v>6.3569861888855925E-2</v>
      </c>
      <c r="AM218" s="98" t="str">
        <f t="shared" si="146"/>
        <v>1+9.42477796076938i</v>
      </c>
      <c r="AN218" s="98">
        <f t="shared" si="162"/>
        <v>9.477681130413929</v>
      </c>
      <c r="AO218" s="98">
        <f t="shared" si="163"/>
        <v>1.465088530414409</v>
      </c>
      <c r="AP218" s="168" t="str">
        <f t="shared" si="164"/>
        <v>-9.91984618443262+1.69543352720584i</v>
      </c>
      <c r="AQ218" s="98">
        <f t="shared" si="165"/>
        <v>20.055144439546741</v>
      </c>
      <c r="AR218" s="169">
        <f t="shared" si="166"/>
        <v>170.30110461530879</v>
      </c>
      <c r="AS218" s="168" t="str">
        <f t="shared" si="167"/>
        <v>2.4174980838625+18.4261323374056i</v>
      </c>
      <c r="AT218" s="190">
        <f t="shared" si="168"/>
        <v>25.382803979007388</v>
      </c>
      <c r="AU218" s="169">
        <f t="shared" si="169"/>
        <v>82.52551801805923</v>
      </c>
      <c r="AV218" s="225"/>
      <c r="AX218">
        <f t="shared" si="170"/>
        <v>0</v>
      </c>
      <c r="AY218">
        <f t="shared" si="171"/>
        <v>0</v>
      </c>
    </row>
    <row r="219" spans="14:51" x14ac:dyDescent="0.25">
      <c r="N219" s="170">
        <v>1</v>
      </c>
      <c r="O219" s="199">
        <f>10^(3+(N219/100))</f>
        <v>1023.2929922807547</v>
      </c>
      <c r="P219" s="189" t="str">
        <f t="shared" si="138"/>
        <v>87</v>
      </c>
      <c r="Q219" s="160" t="str">
        <f t="shared" si="139"/>
        <v>1+48.2215462052871i</v>
      </c>
      <c r="R219" s="160">
        <f t="shared" si="147"/>
        <v>48.231913899705845</v>
      </c>
      <c r="S219" s="160">
        <f t="shared" si="148"/>
        <v>1.5500616808521537</v>
      </c>
      <c r="T219" s="160" t="str">
        <f t="shared" si="140"/>
        <v>1+0.0321476974701914i</v>
      </c>
      <c r="U219" s="160">
        <f t="shared" si="149"/>
        <v>1.0005166037865814</v>
      </c>
      <c r="V219" s="160">
        <f t="shared" si="150"/>
        <v>3.2136629724305317E-2</v>
      </c>
      <c r="W219" s="98" t="str">
        <f t="shared" si="141"/>
        <v>1-0.00455425714161045i</v>
      </c>
      <c r="X219" s="160">
        <f t="shared" si="151"/>
        <v>1.0000103705752816</v>
      </c>
      <c r="Y219" s="160">
        <f t="shared" si="152"/>
        <v>-4.5542256549946647E-3</v>
      </c>
      <c r="Z219" s="98" t="str">
        <f t="shared" si="142"/>
        <v>0.999992553752547+0.00956715476712895i</v>
      </c>
      <c r="AA219" s="160">
        <f t="shared" si="153"/>
        <v>1.0000383182712946</v>
      </c>
      <c r="AB219" s="160">
        <f t="shared" si="154"/>
        <v>9.5669341212424042E-3</v>
      </c>
      <c r="AC219" s="171" t="str">
        <f t="shared" si="155"/>
        <v>0.0699135303717955-1.80331159982586i</v>
      </c>
      <c r="AD219" s="190">
        <f t="shared" si="156"/>
        <v>5.1279384008044744</v>
      </c>
      <c r="AE219" s="169">
        <f t="shared" si="157"/>
        <v>-87.779781903813699</v>
      </c>
      <c r="AF219" s="98" t="str">
        <f t="shared" si="143"/>
        <v>-0.0000673063927557778</v>
      </c>
      <c r="AG219" s="98" t="str">
        <f t="shared" si="144"/>
        <v>0.0000647326036259773i</v>
      </c>
      <c r="AH219" s="98">
        <f t="shared" si="158"/>
        <v>6.4732603625977303E-5</v>
      </c>
      <c r="AI219" s="98">
        <f t="shared" si="159"/>
        <v>1.5707963267948966</v>
      </c>
      <c r="AJ219" s="98" t="str">
        <f t="shared" si="145"/>
        <v>1+0.0651383619777417i</v>
      </c>
      <c r="AK219" s="98">
        <f t="shared" si="160"/>
        <v>1.0021192574744502</v>
      </c>
      <c r="AL219" s="98">
        <f t="shared" si="161"/>
        <v>6.504646831650121E-2</v>
      </c>
      <c r="AM219" s="98" t="str">
        <f t="shared" si="146"/>
        <v>1+9.6443092410574i</v>
      </c>
      <c r="AN219" s="98">
        <f t="shared" si="162"/>
        <v>9.6960146832162533</v>
      </c>
      <c r="AO219" s="98">
        <f t="shared" si="163"/>
        <v>1.4674774496404543</v>
      </c>
      <c r="AP219" s="168" t="str">
        <f t="shared" si="164"/>
        <v>-9.91795982760286+1.68579997880174i</v>
      </c>
      <c r="AQ219" s="98">
        <f t="shared" si="165"/>
        <v>20.052141935262458</v>
      </c>
      <c r="AR219" s="169">
        <f t="shared" si="166"/>
        <v>170.35337628825289</v>
      </c>
      <c r="AS219" s="168" t="str">
        <f t="shared" si="167"/>
        <v>2.34662307112601+18.0030322317419i</v>
      </c>
      <c r="AT219" s="190">
        <f t="shared" si="168"/>
        <v>25.180080336066958</v>
      </c>
      <c r="AU219" s="169">
        <f t="shared" si="169"/>
        <v>82.573594384439176</v>
      </c>
      <c r="AV219" s="225"/>
      <c r="AX219">
        <f t="shared" si="170"/>
        <v>0</v>
      </c>
      <c r="AY219">
        <f t="shared" si="171"/>
        <v>0</v>
      </c>
    </row>
    <row r="220" spans="14:51" x14ac:dyDescent="0.25">
      <c r="N220" s="170">
        <v>2</v>
      </c>
      <c r="O220" s="199">
        <f t="shared" ref="O220:O283" si="172">10^(3+(N220/100))</f>
        <v>1047.1285480509</v>
      </c>
      <c r="P220" s="189" t="str">
        <f t="shared" si="138"/>
        <v>87</v>
      </c>
      <c r="Q220" s="160" t="str">
        <f t="shared" si="139"/>
        <v>1+49.3447703088129i</v>
      </c>
      <c r="R220" s="160">
        <f t="shared" si="147"/>
        <v>49.354902054704795</v>
      </c>
      <c r="S220" s="160">
        <f t="shared" si="148"/>
        <v>1.5505335283329227</v>
      </c>
      <c r="T220" s="160" t="str">
        <f t="shared" si="140"/>
        <v>1+0.0328965135392085i</v>
      </c>
      <c r="U220" s="160">
        <f t="shared" si="149"/>
        <v>1.0005409439913167</v>
      </c>
      <c r="V220" s="160">
        <f t="shared" si="150"/>
        <v>3.2884654582090174E-2</v>
      </c>
      <c r="W220" s="98" t="str">
        <f t="shared" si="141"/>
        <v>1-0.00466033941805455i</v>
      </c>
      <c r="X220" s="160">
        <f t="shared" si="151"/>
        <v>1.0000108593227832</v>
      </c>
      <c r="Y220" s="160">
        <f t="shared" si="152"/>
        <v>-4.6603056795576671E-3</v>
      </c>
      <c r="Z220" s="98" t="str">
        <f t="shared" si="142"/>
        <v>0.999992202821716+0.00979000242926847i</v>
      </c>
      <c r="AA220" s="160">
        <f t="shared" si="153"/>
        <v>1.000040124120924</v>
      </c>
      <c r="AB220" s="160">
        <f t="shared" si="154"/>
        <v>9.7897660034483858E-3</v>
      </c>
      <c r="AC220" s="171" t="str">
        <f t="shared" si="155"/>
        <v>0.0682314019447057-1.76232441556173i</v>
      </c>
      <c r="AD220" s="190">
        <f t="shared" si="156"/>
        <v>4.9282222898149222</v>
      </c>
      <c r="AE220" s="169">
        <f t="shared" si="157"/>
        <v>-87.782803369803176</v>
      </c>
      <c r="AF220" s="98" t="str">
        <f t="shared" si="143"/>
        <v>-0.0000673063927557778</v>
      </c>
      <c r="AG220" s="98" t="str">
        <f t="shared" si="144"/>
        <v>0.0000662404196625503i</v>
      </c>
      <c r="AH220" s="98">
        <f t="shared" si="158"/>
        <v>6.6240419662550305E-5</v>
      </c>
      <c r="AI220" s="98">
        <f t="shared" si="159"/>
        <v>1.5707963267948966</v>
      </c>
      <c r="AJ220" s="98" t="str">
        <f t="shared" si="145"/>
        <v>1+0.0666556293404702i</v>
      </c>
      <c r="AK220" s="98">
        <f t="shared" si="160"/>
        <v>1.002219024426684</v>
      </c>
      <c r="AL220" s="98">
        <f t="shared" si="161"/>
        <v>6.655717527930452E-2</v>
      </c>
      <c r="AM220" s="98" t="str">
        <f t="shared" si="146"/>
        <v>1+9.86895406176256i</v>
      </c>
      <c r="AN220" s="98">
        <f t="shared" si="162"/>
        <v>9.9194886094586412</v>
      </c>
      <c r="AO220" s="98">
        <f t="shared" si="163"/>
        <v>1.4698131345642349</v>
      </c>
      <c r="AP220" s="168" t="str">
        <f t="shared" si="164"/>
        <v>-9.91598533829339+1.67704873026891i</v>
      </c>
      <c r="AQ220" s="98">
        <f t="shared" si="165"/>
        <v>20.049197617374354</v>
      </c>
      <c r="AR220" s="169">
        <f t="shared" si="166"/>
        <v>170.4006440436082</v>
      </c>
      <c r="AS220" s="168" t="str">
        <f t="shared" si="167"/>
        <v>2.27892234214479+17.5896104520224i</v>
      </c>
      <c r="AT220" s="190">
        <f t="shared" si="168"/>
        <v>24.977419907189265</v>
      </c>
      <c r="AU220" s="169">
        <f t="shared" si="169"/>
        <v>82.617840673805034</v>
      </c>
      <c r="AV220" s="225"/>
      <c r="AX220">
        <f t="shared" si="170"/>
        <v>0</v>
      </c>
      <c r="AY220">
        <f t="shared" si="171"/>
        <v>0</v>
      </c>
    </row>
    <row r="221" spans="14:51" x14ac:dyDescent="0.25">
      <c r="N221" s="170">
        <v>3</v>
      </c>
      <c r="O221" s="199">
        <f t="shared" si="172"/>
        <v>1071.5193052376069</v>
      </c>
      <c r="P221" s="189" t="str">
        <f t="shared" si="138"/>
        <v>87</v>
      </c>
      <c r="Q221" s="160" t="str">
        <f t="shared" si="139"/>
        <v>1+50.4941576627117i</v>
      </c>
      <c r="R221" s="160">
        <f t="shared" si="147"/>
        <v>50.504058827650539</v>
      </c>
      <c r="S221" s="160">
        <f t="shared" si="148"/>
        <v>1.5509946439735305</v>
      </c>
      <c r="T221" s="160" t="str">
        <f t="shared" si="140"/>
        <v>1+0.033662771775141i</v>
      </c>
      <c r="U221" s="160">
        <f t="shared" si="149"/>
        <v>1.0005664306799349</v>
      </c>
      <c r="V221" s="160">
        <f t="shared" si="150"/>
        <v>3.3650065062135769E-2</v>
      </c>
      <c r="W221" s="98" t="str">
        <f t="shared" si="141"/>
        <v>1-0.00476889266814499i</v>
      </c>
      <c r="X221" s="160">
        <f t="shared" si="151"/>
        <v>1.0000113711039891</v>
      </c>
      <c r="Y221" s="160">
        <f t="shared" si="152"/>
        <v>-4.7688565167164519E-3</v>
      </c>
      <c r="Z221" s="98" t="str">
        <f t="shared" si="142"/>
        <v>0.999991835352025+0.010018040880282i</v>
      </c>
      <c r="AA221" s="160">
        <f t="shared" si="153"/>
        <v>1.0000420150742619</v>
      </c>
      <c r="AB221" s="160">
        <f t="shared" si="154"/>
        <v>1.0017787546020345E-2</v>
      </c>
      <c r="AC221" s="171" t="str">
        <f t="shared" si="155"/>
        <v>0.0666248976102048-1.72226857112653i</v>
      </c>
      <c r="AD221" s="190">
        <f t="shared" si="156"/>
        <v>4.7285118070201362</v>
      </c>
      <c r="AE221" s="169">
        <f t="shared" si="157"/>
        <v>-87.78465273663501</v>
      </c>
      <c r="AF221" s="98" t="str">
        <f t="shared" si="143"/>
        <v>-0.0000673063927557778</v>
      </c>
      <c r="AG221" s="98" t="str">
        <f t="shared" si="144"/>
        <v>0.000067783357246424i</v>
      </c>
      <c r="AH221" s="98">
        <f t="shared" si="158"/>
        <v>6.7783357246423997E-5</v>
      </c>
      <c r="AI221" s="98">
        <f t="shared" si="159"/>
        <v>1.5707963267948966</v>
      </c>
      <c r="AJ221" s="98" t="str">
        <f t="shared" si="145"/>
        <v>1+0.0682082384001666i</v>
      </c>
      <c r="AK221" s="98">
        <f t="shared" si="160"/>
        <v>1.0023234826071141</v>
      </c>
      <c r="AL221" s="98">
        <f t="shared" si="161"/>
        <v>6.8102756176250154E-2</v>
      </c>
      <c r="AM221" s="98" t="str">
        <f t="shared" si="146"/>
        <v>1+10.0988315325423i</v>
      </c>
      <c r="AN221" s="98">
        <f t="shared" si="162"/>
        <v>10.148221436422773</v>
      </c>
      <c r="AO221" s="98">
        <f t="shared" si="163"/>
        <v>1.4720967216038194</v>
      </c>
      <c r="AP221" s="168" t="str">
        <f t="shared" si="164"/>
        <v>-9.91391863661518+1.66917432408983i</v>
      </c>
      <c r="AQ221" s="98">
        <f t="shared" si="165"/>
        <v>20.046305401097513</v>
      </c>
      <c r="AR221" s="169">
        <f t="shared" si="166"/>
        <v>170.44292868083613</v>
      </c>
      <c r="AS221" s="168" t="str">
        <f t="shared" si="167"/>
        <v>2.2142526640309+17.185639052984i</v>
      </c>
      <c r="AT221" s="190">
        <f t="shared" si="168"/>
        <v>24.774817208117664</v>
      </c>
      <c r="AU221" s="169">
        <f t="shared" si="169"/>
        <v>82.658275944201122</v>
      </c>
      <c r="AV221" s="225"/>
      <c r="AX221">
        <f t="shared" si="170"/>
        <v>0</v>
      </c>
      <c r="AY221">
        <f t="shared" si="171"/>
        <v>0</v>
      </c>
    </row>
    <row r="222" spans="14:51" x14ac:dyDescent="0.25">
      <c r="N222" s="170">
        <v>4</v>
      </c>
      <c r="O222" s="199">
        <f t="shared" si="172"/>
        <v>1096.4781961431863</v>
      </c>
      <c r="P222" s="189" t="str">
        <f t="shared" si="138"/>
        <v>87</v>
      </c>
      <c r="Q222" s="160" t="str">
        <f t="shared" si="139"/>
        <v>1+51.6703176873724i</v>
      </c>
      <c r="R222" s="160">
        <f t="shared" si="147"/>
        <v>51.679993516969304</v>
      </c>
      <c r="S222" s="160">
        <f t="shared" si="148"/>
        <v>1.5514452714787759</v>
      </c>
      <c r="T222" s="160" t="str">
        <f t="shared" si="140"/>
        <v>1+0.0344468784582482i</v>
      </c>
      <c r="U222" s="160">
        <f t="shared" si="149"/>
        <v>1.0005931178233824</v>
      </c>
      <c r="V222" s="160">
        <f t="shared" si="150"/>
        <v>3.4433263405814131E-2</v>
      </c>
      <c r="W222" s="98" t="str">
        <f t="shared" si="141"/>
        <v>1-0.00487997444825184i</v>
      </c>
      <c r="X222" s="160">
        <f t="shared" si="151"/>
        <v>1.0000119070044196</v>
      </c>
      <c r="Y222" s="160">
        <f t="shared" si="152"/>
        <v>-4.8799357113231603E-3</v>
      </c>
      <c r="Z222" s="98" t="str">
        <f t="shared" si="142"/>
        <v>0.999991450564021+0.0102513910291747i</v>
      </c>
      <c r="AA222" s="160">
        <f t="shared" si="153"/>
        <v>1.0000439951417976</v>
      </c>
      <c r="AB222" s="160">
        <f t="shared" si="154"/>
        <v>1.0251119577260883E-2</v>
      </c>
      <c r="AC222" s="171" t="str">
        <f t="shared" si="155"/>
        <v>0.0650906179632674-1.68312303296222i</v>
      </c>
      <c r="AD222" s="190">
        <f t="shared" si="156"/>
        <v>4.5288075647699806</v>
      </c>
      <c r="AE222" s="169">
        <f t="shared" si="157"/>
        <v>-87.785331140861629</v>
      </c>
      <c r="AF222" s="98" t="str">
        <f t="shared" si="143"/>
        <v>-0.0000673063927557778</v>
      </c>
      <c r="AG222" s="98" t="str">
        <f t="shared" si="144"/>
        <v>0.0000693622344635286i</v>
      </c>
      <c r="AH222" s="98">
        <f t="shared" si="158"/>
        <v>6.9362234463528593E-5</v>
      </c>
      <c r="AI222" s="98">
        <f t="shared" si="159"/>
        <v>1.5707963267948966</v>
      </c>
      <c r="AJ222" s="98" t="str">
        <f t="shared" si="145"/>
        <v>1+0.0697970123707055i</v>
      </c>
      <c r="AK222" s="98">
        <f t="shared" si="160"/>
        <v>1.0024328520833086</v>
      </c>
      <c r="AL222" s="98">
        <f t="shared" si="161"/>
        <v>6.96840009412516E-2</v>
      </c>
      <c r="AM222" s="98" t="str">
        <f t="shared" si="146"/>
        <v>1+10.3340635374745i</v>
      </c>
      <c r="AN222" s="98">
        <f t="shared" si="162"/>
        <v>10.382334477205015</v>
      </c>
      <c r="AO222" s="98">
        <f t="shared" si="163"/>
        <v>1.4743293262279933</v>
      </c>
      <c r="AP222" s="168" t="str">
        <f t="shared" si="164"/>
        <v>-9.9117554574329+1.66217171008839i</v>
      </c>
      <c r="AQ222" s="98">
        <f t="shared" si="165"/>
        <v>20.043459302559626</v>
      </c>
      <c r="AR222" s="169">
        <f t="shared" si="166"/>
        <v>170.48024885171097</v>
      </c>
      <c r="AS222" s="168" t="str">
        <f t="shared" si="167"/>
        <v>2.15247720216288+16.790895691265i</v>
      </c>
      <c r="AT222" s="190">
        <f t="shared" si="168"/>
        <v>24.572266867329603</v>
      </c>
      <c r="AU222" s="169">
        <f t="shared" si="169"/>
        <v>82.694917710849296</v>
      </c>
      <c r="AV222" s="225"/>
      <c r="AX222">
        <f t="shared" si="170"/>
        <v>0</v>
      </c>
      <c r="AY222">
        <f t="shared" si="171"/>
        <v>0</v>
      </c>
    </row>
    <row r="223" spans="14:51" x14ac:dyDescent="0.25">
      <c r="N223" s="170">
        <v>5</v>
      </c>
      <c r="O223" s="199">
        <f t="shared" si="172"/>
        <v>1122.0184543019636</v>
      </c>
      <c r="P223" s="189" t="str">
        <f t="shared" si="138"/>
        <v>87</v>
      </c>
      <c r="Q223" s="160" t="str">
        <f t="shared" si="139"/>
        <v>1+52.8738739984085i</v>
      </c>
      <c r="R223" s="160">
        <f t="shared" si="147"/>
        <v>52.883329619073521</v>
      </c>
      <c r="S223" s="160">
        <f t="shared" si="148"/>
        <v>1.5518856490448532</v>
      </c>
      <c r="T223" s="160" t="str">
        <f t="shared" si="140"/>
        <v>1+0.0352492493322723i</v>
      </c>
      <c r="U223" s="160">
        <f t="shared" si="149"/>
        <v>1.0006210619302838</v>
      </c>
      <c r="V223" s="160">
        <f t="shared" si="150"/>
        <v>3.5234661029749002E-2</v>
      </c>
      <c r="W223" s="98" t="str">
        <f t="shared" si="141"/>
        <v>1-0.00499364365540525i</v>
      </c>
      <c r="X223" s="160">
        <f t="shared" si="151"/>
        <v>1.000012468160751</v>
      </c>
      <c r="Y223" s="160">
        <f t="shared" si="152"/>
        <v>-4.9936021480662942E-3</v>
      </c>
      <c r="Z223" s="98" t="str">
        <f t="shared" si="142"/>
        <v>0.999991047641516+0.0104901766012842i</v>
      </c>
      <c r="AA223" s="160">
        <f t="shared" si="153"/>
        <v>1.000046068522997</v>
      </c>
      <c r="AB223" s="160">
        <f t="shared" si="154"/>
        <v>1.048988573603421E-2</v>
      </c>
      <c r="AC223" s="171" t="str">
        <f t="shared" si="155"/>
        <v>0.0636253160756618-1.64486723652745i</v>
      </c>
      <c r="AD223" s="190">
        <f t="shared" si="156"/>
        <v>4.3291101885201302</v>
      </c>
      <c r="AE223" s="169">
        <f t="shared" si="157"/>
        <v>-87.784839115512767</v>
      </c>
      <c r="AF223" s="98" t="str">
        <f t="shared" si="143"/>
        <v>-0.0000673063927557778</v>
      </c>
      <c r="AG223" s="98" t="str">
        <f t="shared" si="144"/>
        <v>0.0000709778884554634i</v>
      </c>
      <c r="AH223" s="98">
        <f t="shared" si="158"/>
        <v>7.0977888455463396E-5</v>
      </c>
      <c r="AI223" s="98">
        <f t="shared" si="159"/>
        <v>1.5707963267948966</v>
      </c>
      <c r="AJ223" s="98" t="str">
        <f t="shared" si="145"/>
        <v>1+0.0714227936410761i</v>
      </c>
      <c r="AK223" s="98">
        <f t="shared" si="160"/>
        <v>1.0025473631961215</v>
      </c>
      <c r="AL223" s="98">
        <f t="shared" si="161"/>
        <v>7.130171632430525E-2</v>
      </c>
      <c r="AM223" s="98" t="str">
        <f t="shared" si="146"/>
        <v>1+10.5747747996817i</v>
      </c>
      <c r="AN223" s="98">
        <f t="shared" si="162"/>
        <v>10.621951895201896</v>
      </c>
      <c r="AO223" s="98">
        <f t="shared" si="163"/>
        <v>1.4765120431165935</v>
      </c>
      <c r="AP223" s="168" t="str">
        <f t="shared" si="164"/>
        <v>-9.90949134230232+1.6560362387427i</v>
      </c>
      <c r="AQ223" s="98">
        <f t="shared" si="165"/>
        <v>20.040653427351359</v>
      </c>
      <c r="AR223" s="169">
        <f t="shared" si="166"/>
        <v>170.51262105339734</v>
      </c>
      <c r="AS223" s="168" t="str">
        <f t="shared" si="167"/>
        <v>2.093465232807+16.4051634687283i</v>
      </c>
      <c r="AT223" s="190">
        <f t="shared" si="168"/>
        <v>24.369763615871513</v>
      </c>
      <c r="AU223" s="169">
        <f t="shared" si="169"/>
        <v>82.727781937884558</v>
      </c>
      <c r="AV223" s="225"/>
      <c r="AX223">
        <f t="shared" si="170"/>
        <v>0</v>
      </c>
      <c r="AY223">
        <f t="shared" si="171"/>
        <v>0</v>
      </c>
    </row>
    <row r="224" spans="14:51" x14ac:dyDescent="0.25">
      <c r="N224" s="170">
        <v>6</v>
      </c>
      <c r="O224" s="199">
        <f t="shared" si="172"/>
        <v>1148.1536214968839</v>
      </c>
      <c r="P224" s="189" t="str">
        <f t="shared" si="138"/>
        <v>87</v>
      </c>
      <c r="Q224" s="160" t="str">
        <f t="shared" si="139"/>
        <v>1+54.105464737307i</v>
      </c>
      <c r="R224" s="160">
        <f t="shared" si="147"/>
        <v>54.114705158948901</v>
      </c>
      <c r="S224" s="160">
        <f t="shared" si="148"/>
        <v>1.5523160094821575</v>
      </c>
      <c r="T224" s="160" t="str">
        <f t="shared" si="140"/>
        <v>1+0.0360703098248712i</v>
      </c>
      <c r="U224" s="160">
        <f t="shared" si="149"/>
        <v>1.0006503221659713</v>
      </c>
      <c r="V224" s="160">
        <f t="shared" si="150"/>
        <v>3.6054678725710873E-2</v>
      </c>
      <c r="W224" s="98" t="str">
        <f t="shared" si="141"/>
        <v>1-0.00510996055852344i</v>
      </c>
      <c r="X224" s="160">
        <f t="shared" si="151"/>
        <v>1.0000130557632283</v>
      </c>
      <c r="Y224" s="160">
        <f t="shared" si="152"/>
        <v>-5.1099160826398012E-3</v>
      </c>
      <c r="Z224" s="98" t="str">
        <f t="shared" si="142"/>
        <v>0.999990625729859+0.0107345242038817i</v>
      </c>
      <c r="AA224" s="160">
        <f t="shared" si="153"/>
        <v>1.0000482396152093</v>
      </c>
      <c r="AB224" s="160">
        <f t="shared" si="154"/>
        <v>1.0734212536954587E-2</v>
      </c>
      <c r="AC224" s="171" t="str">
        <f t="shared" si="155"/>
        <v>0.0622258906721952-1.60748107630231i</v>
      </c>
      <c r="AD224" s="190">
        <f t="shared" si="156"/>
        <v>4.1294203181426736</v>
      </c>
      <c r="AE224" s="169">
        <f t="shared" si="157"/>
        <v>-87.78317659119935</v>
      </c>
      <c r="AF224" s="98" t="str">
        <f t="shared" si="143"/>
        <v>-0.0000673063927557778</v>
      </c>
      <c r="AG224" s="98" t="str">
        <f t="shared" si="144"/>
        <v>0.0000726311758633608i</v>
      </c>
      <c r="AH224" s="98">
        <f t="shared" si="158"/>
        <v>7.2631175863360797E-5</v>
      </c>
      <c r="AI224" s="98">
        <f t="shared" si="159"/>
        <v>1.5707963267948966</v>
      </c>
      <c r="AJ224" s="98" t="str">
        <f t="shared" si="145"/>
        <v>1+0.0730864442220275i</v>
      </c>
      <c r="AK224" s="98">
        <f t="shared" si="160"/>
        <v>1.0026672570344659</v>
      </c>
      <c r="AL224" s="98">
        <f t="shared" si="161"/>
        <v>7.2956726171977127E-2</v>
      </c>
      <c r="AM224" s="98" t="str">
        <f t="shared" si="146"/>
        <v>1+10.8210929474614i</v>
      </c>
      <c r="AN224" s="98">
        <f t="shared" si="162"/>
        <v>10.867200770097092</v>
      </c>
      <c r="AO224" s="98">
        <f t="shared" si="163"/>
        <v>1.478645946337072</v>
      </c>
      <c r="AP224" s="168" t="str">
        <f t="shared" si="164"/>
        <v>-9.90712163109041+1.65076365443649i</v>
      </c>
      <c r="AQ224" s="98">
        <f t="shared" si="165"/>
        <v>20.037881959199272</v>
      </c>
      <c r="AR224" s="169">
        <f t="shared" si="166"/>
        <v>170.54005962249587</v>
      </c>
      <c r="AS224" s="168" t="str">
        <f t="shared" si="167"/>
        <v>2.03709186846193+16.0282307812897i</v>
      </c>
      <c r="AT224" s="190">
        <f t="shared" si="168"/>
        <v>24.167302277341939</v>
      </c>
      <c r="AU224" s="169">
        <f t="shared" si="169"/>
        <v>82.756883031296525</v>
      </c>
      <c r="AV224" s="225"/>
      <c r="AX224">
        <f t="shared" si="170"/>
        <v>0</v>
      </c>
      <c r="AY224">
        <f t="shared" si="171"/>
        <v>0</v>
      </c>
    </row>
    <row r="225" spans="14:51" x14ac:dyDescent="0.25">
      <c r="N225" s="170">
        <v>7</v>
      </c>
      <c r="O225" s="199">
        <f t="shared" si="172"/>
        <v>1174.8975549395295</v>
      </c>
      <c r="P225" s="189" t="str">
        <f t="shared" si="138"/>
        <v>87</v>
      </c>
      <c r="Q225" s="160" t="str">
        <f t="shared" si="139"/>
        <v>1+55.3657429097797i</v>
      </c>
      <c r="R225" s="160">
        <f t="shared" si="147"/>
        <v>55.374773028445183</v>
      </c>
      <c r="S225" s="160">
        <f t="shared" si="148"/>
        <v>1.5527365803354667</v>
      </c>
      <c r="T225" s="160" t="str">
        <f t="shared" si="140"/>
        <v>1+0.0369104952731864i</v>
      </c>
      <c r="U225" s="160">
        <f t="shared" si="149"/>
        <v>1.0006809604770703</v>
      </c>
      <c r="V225" s="160">
        <f t="shared" si="150"/>
        <v>3.6893746864187671E-2</v>
      </c>
      <c r="W225" s="98" t="str">
        <f t="shared" si="141"/>
        <v>1-0.00522898683036808i</v>
      </c>
      <c r="X225" s="160">
        <f t="shared" si="151"/>
        <v>1.0000136710581871</v>
      </c>
      <c r="Y225" s="160">
        <f t="shared" si="152"/>
        <v>-5.2289391736353311E-3</v>
      </c>
      <c r="Z225" s="98" t="str">
        <f t="shared" si="142"/>
        <v>0.999990183934118+0.0109845633933003i</v>
      </c>
      <c r="AA225" s="160">
        <f t="shared" si="153"/>
        <v>1.0000505130229835</v>
      </c>
      <c r="AB225" s="160">
        <f t="shared" si="154"/>
        <v>1.0984229437072604E-2</v>
      </c>
      <c r="AC225" s="171" t="str">
        <f t="shared" si="155"/>
        <v>0.0608893796103386-1.57094489597607i</v>
      </c>
      <c r="AD225" s="190">
        <f t="shared" si="156"/>
        <v>3.9297386092662698</v>
      </c>
      <c r="AE225" s="169">
        <f t="shared" si="157"/>
        <v>-87.78034289698391</v>
      </c>
      <c r="AF225" s="98" t="str">
        <f t="shared" si="143"/>
        <v>-0.0000673063927557778</v>
      </c>
      <c r="AG225" s="98" t="str">
        <f t="shared" si="144"/>
        <v>0.0000743229732820881i</v>
      </c>
      <c r="AH225" s="98">
        <f t="shared" si="158"/>
        <v>7.43229732820881E-5</v>
      </c>
      <c r="AI225" s="98">
        <f t="shared" si="159"/>
        <v>1.5707963267948966</v>
      </c>
      <c r="AJ225" s="98" t="str">
        <f t="shared" si="145"/>
        <v>1+0.0747888462031189i</v>
      </c>
      <c r="AK225" s="98">
        <f t="shared" si="160"/>
        <v>1.0027927859315671</v>
      </c>
      <c r="AL225" s="98">
        <f t="shared" si="161"/>
        <v>7.4649871706719495E-2</v>
      </c>
      <c r="AM225" s="98" t="str">
        <f t="shared" si="146"/>
        <v>1+11.0731485819559i</v>
      </c>
      <c r="AN225" s="98">
        <f t="shared" si="162"/>
        <v>11.118211165384114</v>
      </c>
      <c r="AO225" s="98">
        <f t="shared" si="163"/>
        <v>1.4807320895357141</v>
      </c>
      <c r="AP225" s="168" t="str">
        <f t="shared" si="164"/>
        <v>-9.90464145326926+1.64635008862755i</v>
      </c>
      <c r="AQ225" s="98">
        <f t="shared" si="165"/>
        <v>20.035139148746982</v>
      </c>
      <c r="AR225" s="169">
        <f t="shared" si="166"/>
        <v>170.56257672999587</v>
      </c>
      <c r="AS225" s="168" t="str">
        <f t="shared" si="167"/>
        <v>1.98323779536679+15.6598911730043i</v>
      </c>
      <c r="AT225" s="190">
        <f t="shared" si="168"/>
        <v>23.964877758013252</v>
      </c>
      <c r="AU225" s="169">
        <f t="shared" si="169"/>
        <v>82.782233833011958</v>
      </c>
      <c r="AV225" s="225"/>
      <c r="AX225">
        <f t="shared" si="170"/>
        <v>0</v>
      </c>
      <c r="AY225">
        <f t="shared" si="171"/>
        <v>0</v>
      </c>
    </row>
    <row r="226" spans="14:51" x14ac:dyDescent="0.25">
      <c r="N226" s="170">
        <v>8</v>
      </c>
      <c r="O226" s="199">
        <f t="shared" si="172"/>
        <v>1202.2644346174138</v>
      </c>
      <c r="P226" s="189" t="str">
        <f t="shared" si="138"/>
        <v>87</v>
      </c>
      <c r="Q226" s="160" t="str">
        <f t="shared" si="139"/>
        <v>1+56.6553767319955i</v>
      </c>
      <c r="R226" s="160">
        <f t="shared" si="147"/>
        <v>56.664201332449196</v>
      </c>
      <c r="S226" s="160">
        <f t="shared" si="148"/>
        <v>1.5531475840015483</v>
      </c>
      <c r="T226" s="160" t="str">
        <f t="shared" si="140"/>
        <v>1+0.0377702511546636i</v>
      </c>
      <c r="U226" s="160">
        <f t="shared" si="149"/>
        <v>1.0007130417218946</v>
      </c>
      <c r="V226" s="160">
        <f t="shared" si="150"/>
        <v>3.7752305601645275E-2</v>
      </c>
      <c r="W226" s="98" t="str">
        <f t="shared" si="141"/>
        <v>1-0.00535078558024401i</v>
      </c>
      <c r="X226" s="160">
        <f t="shared" si="151"/>
        <v>1.0000143153506982</v>
      </c>
      <c r="Y226" s="160">
        <f t="shared" si="152"/>
        <v>-5.3507345151743253E-3</v>
      </c>
      <c r="Z226" s="98" t="str">
        <f t="shared" si="142"/>
        <v>0.999989721317186+0.0112404267436279i</v>
      </c>
      <c r="AA226" s="160">
        <f t="shared" si="153"/>
        <v>1.0000528935678363</v>
      </c>
      <c r="AB226" s="160">
        <f t="shared" si="154"/>
        <v>1.1240068904094314E-2</v>
      </c>
      <c r="AC226" s="171" t="str">
        <f t="shared" si="155"/>
        <v>0.0596129536498878-1.53523947881663i</v>
      </c>
      <c r="AD226" s="190">
        <f t="shared" si="156"/>
        <v>3.7300657346481429</v>
      </c>
      <c r="AE226" s="169">
        <f t="shared" si="157"/>
        <v>-87.776336761022165</v>
      </c>
      <c r="AF226" s="98" t="str">
        <f t="shared" si="143"/>
        <v>-0.0000673063927557778</v>
      </c>
      <c r="AG226" s="98" t="str">
        <f t="shared" si="144"/>
        <v>0.0000760541777250305i</v>
      </c>
      <c r="AH226" s="98">
        <f t="shared" si="158"/>
        <v>7.6054177725030494E-5</v>
      </c>
      <c r="AI226" s="98">
        <f t="shared" si="159"/>
        <v>1.5707963267948966</v>
      </c>
      <c r="AJ226" s="98" t="str">
        <f t="shared" si="145"/>
        <v>1+0.0765309022204148i</v>
      </c>
      <c r="AK226" s="98">
        <f t="shared" si="160"/>
        <v>1.0029242139836243</v>
      </c>
      <c r="AL226" s="98">
        <f t="shared" si="161"/>
        <v>7.6382011804466687E-2</v>
      </c>
      <c r="AM226" s="98" t="str">
        <f t="shared" si="146"/>
        <v>1+11.3310753463991i</v>
      </c>
      <c r="AN226" s="98">
        <f t="shared" si="162"/>
        <v>11.375116197462487</v>
      </c>
      <c r="AO226" s="98">
        <f t="shared" si="163"/>
        <v>1.4827715061420617</v>
      </c>
      <c r="AP226" s="168" t="str">
        <f t="shared" si="164"/>
        <v>-9.90204571887437+1.64279205291045i</v>
      </c>
      <c r="AQ226" s="98">
        <f t="shared" si="165"/>
        <v>20.032419302429233</v>
      </c>
      <c r="AR226" s="169">
        <f t="shared" si="166"/>
        <v>170.58018237708211</v>
      </c>
      <c r="AS226" s="168" t="str">
        <f t="shared" si="167"/>
        <v>1.93178902263601+15.2999431951697i</v>
      </c>
      <c r="AT226" s="190">
        <f t="shared" si="168"/>
        <v>23.762485037077386</v>
      </c>
      <c r="AU226" s="169">
        <f t="shared" si="169"/>
        <v>82.803845616060002</v>
      </c>
      <c r="AV226" s="225"/>
      <c r="AX226">
        <f t="shared" si="170"/>
        <v>0</v>
      </c>
      <c r="AY226">
        <f t="shared" si="171"/>
        <v>0</v>
      </c>
    </row>
    <row r="227" spans="14:51" x14ac:dyDescent="0.25">
      <c r="N227" s="170">
        <v>9</v>
      </c>
      <c r="O227" s="199">
        <f t="shared" si="172"/>
        <v>1230.2687708123824</v>
      </c>
      <c r="P227" s="189" t="str">
        <f t="shared" si="138"/>
        <v>87</v>
      </c>
      <c r="Q227" s="160" t="str">
        <f t="shared" si="139"/>
        <v>1+57.975049984877i</v>
      </c>
      <c r="R227" s="160">
        <f t="shared" si="147"/>
        <v>57.983673743123482</v>
      </c>
      <c r="S227" s="160">
        <f t="shared" si="148"/>
        <v>1.553549237844241</v>
      </c>
      <c r="T227" s="160" t="str">
        <f t="shared" si="140"/>
        <v>1+0.0386500333232513i</v>
      </c>
      <c r="U227" s="160">
        <f t="shared" si="149"/>
        <v>1.0007466338069233</v>
      </c>
      <c r="V227" s="160">
        <f t="shared" si="150"/>
        <v>3.8630805091492741E-2</v>
      </c>
      <c r="W227" s="98" t="str">
        <f t="shared" si="141"/>
        <v>1-0.00547542138746061i</v>
      </c>
      <c r="X227" s="160">
        <f t="shared" si="151"/>
        <v>1.000014990007335</v>
      </c>
      <c r="Y227" s="160">
        <f t="shared" si="152"/>
        <v>-5.4753666702969167E-3</v>
      </c>
      <c r="Z227" s="98" t="str">
        <f t="shared" si="142"/>
        <v>0.999989236897789+0.0115022499169996i</v>
      </c>
      <c r="AA227" s="160">
        <f t="shared" si="153"/>
        <v>1.0000553862984667</v>
      </c>
      <c r="AB227" s="160">
        <f t="shared" si="154"/>
        <v>1.15018664861661E-2</v>
      </c>
      <c r="AC227" s="171" t="str">
        <f t="shared" si="155"/>
        <v>0.0583939104998944-1.50034603822042i</v>
      </c>
      <c r="AD227" s="190">
        <f t="shared" si="156"/>
        <v>3.5304023855811866</v>
      </c>
      <c r="AE227" s="169">
        <f t="shared" si="157"/>
        <v>-87.771156310980587</v>
      </c>
      <c r="AF227" s="98" t="str">
        <f t="shared" si="143"/>
        <v>-0.0000673063927557778</v>
      </c>
      <c r="AG227" s="98" t="str">
        <f t="shared" si="144"/>
        <v>0.0000778257070996987i</v>
      </c>
      <c r="AH227" s="98">
        <f t="shared" si="158"/>
        <v>7.7825707099698693E-5</v>
      </c>
      <c r="AI227" s="98">
        <f t="shared" si="159"/>
        <v>1.5707963267948966</v>
      </c>
      <c r="AJ227" s="98" t="str">
        <f t="shared" si="145"/>
        <v>1+0.078313535935074i</v>
      </c>
      <c r="AK227" s="98">
        <f t="shared" si="160"/>
        <v>1.0030618175918442</v>
      </c>
      <c r="AL227" s="98">
        <f t="shared" si="161"/>
        <v>7.8154023269916065E-2</v>
      </c>
      <c r="AM227" s="98" t="str">
        <f t="shared" si="146"/>
        <v>1+11.5950099969754i</v>
      </c>
      <c r="AN227" s="98">
        <f t="shared" si="162"/>
        <v>11.638052106343205</v>
      </c>
      <c r="AO227" s="98">
        <f t="shared" si="163"/>
        <v>1.4847652095851593</v>
      </c>
      <c r="AP227" s="168" t="str">
        <f t="shared" si="164"/>
        <v>-9.89932910911907+1.64008643194947i</v>
      </c>
      <c r="AQ227" s="98">
        <f t="shared" si="165"/>
        <v>20.029716771424347</v>
      </c>
      <c r="AR227" s="169">
        <f t="shared" si="166"/>
        <v>170.59288439175333</v>
      </c>
      <c r="AS227" s="168" t="str">
        <f t="shared" si="167"/>
        <v>1.88263664250755+14.9481902702262i</v>
      </c>
      <c r="AT227" s="190">
        <f t="shared" si="168"/>
        <v>23.56011915700552</v>
      </c>
      <c r="AU227" s="169">
        <f t="shared" si="169"/>
        <v>82.821728080772743</v>
      </c>
      <c r="AV227" s="225"/>
      <c r="AX227">
        <f t="shared" si="170"/>
        <v>0</v>
      </c>
      <c r="AY227">
        <f t="shared" si="171"/>
        <v>0</v>
      </c>
    </row>
    <row r="228" spans="14:51" x14ac:dyDescent="0.25">
      <c r="N228" s="170">
        <v>10</v>
      </c>
      <c r="O228" s="199">
        <f t="shared" si="172"/>
        <v>1258.925411794168</v>
      </c>
      <c r="P228" s="189" t="str">
        <f t="shared" si="138"/>
        <v>87</v>
      </c>
      <c r="Q228" s="160" t="str">
        <f t="shared" si="139"/>
        <v>1+59.3254623766511i</v>
      </c>
      <c r="R228" s="160">
        <f t="shared" si="147"/>
        <v>59.333889862400277</v>
      </c>
      <c r="S228" s="160">
        <f t="shared" si="148"/>
        <v>1.5539417543070539</v>
      </c>
      <c r="T228" s="160" t="str">
        <f t="shared" si="140"/>
        <v>1+0.0395503082511007i</v>
      </c>
      <c r="U228" s="160">
        <f t="shared" si="149"/>
        <v>1.0007818078296373</v>
      </c>
      <c r="V228" s="160">
        <f t="shared" si="150"/>
        <v>3.9529705698757252E-2</v>
      </c>
      <c r="W228" s="98" t="str">
        <f t="shared" si="141"/>
        <v>1-0.0056029603355726i</v>
      </c>
      <c r="X228" s="160">
        <f t="shared" si="151"/>
        <v>1.0000156964590716</v>
      </c>
      <c r="Y228" s="160">
        <f t="shared" si="152"/>
        <v>-5.6029017051250777E-3</v>
      </c>
      <c r="Z228" s="98" t="str">
        <f t="shared" si="142"/>
        <v>0.999988729648409+0.0117701717355276i</v>
      </c>
      <c r="AA228" s="160">
        <f t="shared" si="153"/>
        <v>1.0000579965014644</v>
      </c>
      <c r="AB228" s="160">
        <f t="shared" si="154"/>
        <v>1.1769760883260672E-2</v>
      </c>
      <c r="AC228" s="171" t="str">
        <f t="shared" si="155"/>
        <v>0.0572296691306431-1.46624620844109i</v>
      </c>
      <c r="AD228" s="190">
        <f t="shared" si="156"/>
        <v>3.3307492733382009</v>
      </c>
      <c r="AE228" s="169">
        <f t="shared" si="157"/>
        <v>-87.764799074235611</v>
      </c>
      <c r="AF228" s="98" t="str">
        <f t="shared" si="143"/>
        <v>-0.0000673063927557778</v>
      </c>
      <c r="AG228" s="98" t="str">
        <f t="shared" si="144"/>
        <v>0.0000796385006944162i</v>
      </c>
      <c r="AH228" s="98">
        <f t="shared" si="158"/>
        <v>7.9638500694416197E-5</v>
      </c>
      <c r="AI228" s="98">
        <f t="shared" si="159"/>
        <v>1.5707963267948966</v>
      </c>
      <c r="AJ228" s="98" t="str">
        <f t="shared" si="145"/>
        <v>1+0.0801376925230883i</v>
      </c>
      <c r="AK228" s="98">
        <f t="shared" si="160"/>
        <v>1.0032058860288475</v>
      </c>
      <c r="AL228" s="98">
        <f t="shared" si="161"/>
        <v>7.9966801108851585E-2</v>
      </c>
      <c r="AM228" s="98" t="str">
        <f t="shared" si="146"/>
        <v>1+11.8650924753302i</v>
      </c>
      <c r="AN228" s="98">
        <f t="shared" si="162"/>
        <v>11.907158328003257</v>
      </c>
      <c r="AO228" s="98">
        <f t="shared" si="163"/>
        <v>1.4867141935203709</v>
      </c>
      <c r="AP228" s="168" t="str">
        <f t="shared" si="164"/>
        <v>-9.89648606665592+1.63823047625664i</v>
      </c>
      <c r="AQ228" s="98">
        <f t="shared" si="165"/>
        <v>20.027025940669532</v>
      </c>
      <c r="AR228" s="169">
        <f t="shared" si="166"/>
        <v>170.60068842621385</v>
      </c>
      <c r="AS228" s="168" t="str">
        <f t="shared" si="167"/>
        <v>1.8356766012132+14.6044405602402i</v>
      </c>
      <c r="AT228" s="190">
        <f t="shared" si="168"/>
        <v>23.357775214007717</v>
      </c>
      <c r="AU228" s="169">
        <f t="shared" si="169"/>
        <v>82.835889351978238</v>
      </c>
      <c r="AV228" s="225"/>
      <c r="AX228">
        <f t="shared" si="170"/>
        <v>0</v>
      </c>
      <c r="AY228">
        <f t="shared" si="171"/>
        <v>0</v>
      </c>
    </row>
    <row r="229" spans="14:51" x14ac:dyDescent="0.25">
      <c r="N229" s="170">
        <v>11</v>
      </c>
      <c r="O229" s="199">
        <f t="shared" si="172"/>
        <v>1288.2495516931347</v>
      </c>
      <c r="P229" s="189" t="str">
        <f t="shared" si="138"/>
        <v>87</v>
      </c>
      <c r="Q229" s="160" t="str">
        <f t="shared" si="139"/>
        <v>1+60.7073299138426i</v>
      </c>
      <c r="R229" s="160">
        <f t="shared" si="147"/>
        <v>60.715565592919646</v>
      </c>
      <c r="S229" s="160">
        <f t="shared" si="148"/>
        <v>1.5543253410233366</v>
      </c>
      <c r="T229" s="160" t="str">
        <f t="shared" si="140"/>
        <v>1+0.0404715532758949i</v>
      </c>
      <c r="U229" s="160">
        <f t="shared" si="149"/>
        <v>1.0008186382280075</v>
      </c>
      <c r="V229" s="160">
        <f t="shared" si="150"/>
        <v>4.0449478218470294E-2</v>
      </c>
      <c r="W229" s="98" t="str">
        <f t="shared" si="141"/>
        <v>1-0.00573347004741846i</v>
      </c>
      <c r="X229" s="160">
        <f t="shared" si="151"/>
        <v>1.0000164362043178</v>
      </c>
      <c r="Y229" s="160">
        <f t="shared" si="152"/>
        <v>-5.7334072238178335E-3</v>
      </c>
      <c r="Z229" s="98" t="str">
        <f t="shared" si="142"/>
        <v>0.999988198493103+0.0120443342549063i</v>
      </c>
      <c r="AA229" s="160">
        <f t="shared" si="153"/>
        <v>1.0000607297125137</v>
      </c>
      <c r="AB229" s="160">
        <f t="shared" si="154"/>
        <v>1.204389402019943E-2</v>
      </c>
      <c r="AC229" s="171" t="str">
        <f t="shared" si="155"/>
        <v>0.0561177643389866-1.43292203549549i</v>
      </c>
      <c r="AD229" s="190">
        <f t="shared" si="156"/>
        <v>3.1311071306569396</v>
      </c>
      <c r="AE229" s="169">
        <f t="shared" si="157"/>
        <v>-87.757261977859741</v>
      </c>
      <c r="AF229" s="98" t="str">
        <f t="shared" si="143"/>
        <v>-0.0000673063927557778</v>
      </c>
      <c r="AG229" s="98" t="str">
        <f t="shared" si="144"/>
        <v>0.0000814935196763421i</v>
      </c>
      <c r="AH229" s="98">
        <f t="shared" si="158"/>
        <v>8.1493519676342093E-5</v>
      </c>
      <c r="AI229" s="98">
        <f t="shared" si="159"/>
        <v>1.5707963267948966</v>
      </c>
      <c r="AJ229" s="98" t="str">
        <f t="shared" si="145"/>
        <v>1+0.082004339176426i</v>
      </c>
      <c r="AK229" s="98">
        <f t="shared" si="160"/>
        <v>1.0033567220304862</v>
      </c>
      <c r="AL229" s="98">
        <f t="shared" si="161"/>
        <v>8.1821258796808155E-2</v>
      </c>
      <c r="AM229" s="98" t="str">
        <f t="shared" si="146"/>
        <v>1+12.1414659827685i</v>
      </c>
      <c r="AN229" s="98">
        <f t="shared" si="162"/>
        <v>12.182577568426341</v>
      </c>
      <c r="AO229" s="98">
        <f t="shared" si="163"/>
        <v>1.4886194320655546</v>
      </c>
      <c r="AP229" s="168" t="str">
        <f t="shared" si="164"/>
        <v>-9.89351078547732+1.63722179478803i</v>
      </c>
      <c r="AQ229" s="98">
        <f t="shared" si="165"/>
        <v>20.024341217924238</v>
      </c>
      <c r="AR229" s="169">
        <f t="shared" si="166"/>
        <v>170.60359795501313</v>
      </c>
      <c r="AS229" s="168" t="str">
        <f t="shared" si="167"/>
        <v>1.79080948000061+14.2685068397733i</v>
      </c>
      <c r="AT229" s="190">
        <f t="shared" si="168"/>
        <v>23.155448348581164</v>
      </c>
      <c r="AU229" s="169">
        <f t="shared" si="169"/>
        <v>82.846335977153359</v>
      </c>
      <c r="AV229" s="225"/>
      <c r="AX229">
        <f t="shared" si="170"/>
        <v>0</v>
      </c>
      <c r="AY229">
        <f t="shared" si="171"/>
        <v>0</v>
      </c>
    </row>
    <row r="230" spans="14:51" x14ac:dyDescent="0.25">
      <c r="N230" s="170">
        <v>12</v>
      </c>
      <c r="O230" s="199">
        <f t="shared" si="172"/>
        <v>1318.2567385564089</v>
      </c>
      <c r="P230" s="189" t="str">
        <f t="shared" si="138"/>
        <v>87</v>
      </c>
      <c r="Q230" s="160" t="str">
        <f t="shared" si="139"/>
        <v>1+62.121385280911i</v>
      </c>
      <c r="R230" s="160">
        <f t="shared" si="147"/>
        <v>62.129433517612135</v>
      </c>
      <c r="S230" s="160">
        <f t="shared" si="148"/>
        <v>1.55470020092406</v>
      </c>
      <c r="T230" s="160" t="str">
        <f t="shared" si="140"/>
        <v>1+0.0414142568539406i</v>
      </c>
      <c r="U230" s="160">
        <f t="shared" si="149"/>
        <v>1.0008572029369445</v>
      </c>
      <c r="V230" s="160">
        <f t="shared" si="150"/>
        <v>4.1390604097762851E-2</v>
      </c>
      <c r="W230" s="98" t="str">
        <f t="shared" si="141"/>
        <v>1-0.00586701972097492i</v>
      </c>
      <c r="X230" s="160">
        <f t="shared" si="151"/>
        <v>1.000017210812097</v>
      </c>
      <c r="Y230" s="160">
        <f t="shared" si="152"/>
        <v>-5.8669524043365963E-3</v>
      </c>
      <c r="Z230" s="98" t="str">
        <f t="shared" si="142"/>
        <v>0.999987642305218+0.0123248828397327i</v>
      </c>
      <c r="AA230" s="160">
        <f t="shared" si="153"/>
        <v>1.0000635917281271</v>
      </c>
      <c r="AB230" s="160">
        <f t="shared" si="154"/>
        <v>1.2324411121348531E-2</v>
      </c>
      <c r="AC230" s="171" t="str">
        <f t="shared" si="155"/>
        <v>0.0550558415558428-1.4003559682451i</v>
      </c>
      <c r="AD230" s="190">
        <f t="shared" si="156"/>
        <v>2.9314767132685677</v>
      </c>
      <c r="AE230" s="169">
        <f t="shared" si="157"/>
        <v>-87.748541348401019</v>
      </c>
      <c r="AF230" s="98" t="str">
        <f t="shared" si="143"/>
        <v>-0.0000673063927557778</v>
      </c>
      <c r="AG230" s="98" t="str">
        <f t="shared" si="144"/>
        <v>0.0000833917476010947i</v>
      </c>
      <c r="AH230" s="98">
        <f t="shared" si="158"/>
        <v>8.3391747601094693E-5</v>
      </c>
      <c r="AI230" s="98">
        <f t="shared" si="159"/>
        <v>1.5707963267948966</v>
      </c>
      <c r="AJ230" s="98" t="str">
        <f t="shared" si="145"/>
        <v>1+0.0839144656158509i</v>
      </c>
      <c r="AK230" s="98">
        <f t="shared" si="160"/>
        <v>1.0035146424141472</v>
      </c>
      <c r="AL230" s="98">
        <f t="shared" si="161"/>
        <v>8.3718328543328308E-2</v>
      </c>
      <c r="AM230" s="98" t="str">
        <f t="shared" si="146"/>
        <v>1+12.4242770561822i</v>
      </c>
      <c r="AN230" s="98">
        <f t="shared" si="162"/>
        <v>12.464455879370565</v>
      </c>
      <c r="AO230" s="98">
        <f t="shared" si="163"/>
        <v>1.4904818800455057</v>
      </c>
      <c r="AP230" s="168" t="str">
        <f t="shared" si="164"/>
        <v>-9.89039720044597+1.63705834733043i</v>
      </c>
      <c r="AQ230" s="98">
        <f t="shared" si="165"/>
        <v>20.02165702286511</v>
      </c>
      <c r="AR230" s="169">
        <f t="shared" si="166"/>
        <v>170.60161427390943</v>
      </c>
      <c r="AS230" s="168" t="str">
        <f t="shared" si="167"/>
        <v>1.74794028585752+13.9402063729474i</v>
      </c>
      <c r="AT230" s="190">
        <f t="shared" si="168"/>
        <v>22.953133736133658</v>
      </c>
      <c r="AU230" s="169">
        <f t="shared" si="169"/>
        <v>82.853072925508414</v>
      </c>
      <c r="AV230" s="225"/>
      <c r="AX230">
        <f t="shared" si="170"/>
        <v>0</v>
      </c>
      <c r="AY230">
        <f t="shared" si="171"/>
        <v>0</v>
      </c>
    </row>
    <row r="231" spans="14:51" x14ac:dyDescent="0.25">
      <c r="N231" s="170">
        <v>13</v>
      </c>
      <c r="O231" s="199">
        <f t="shared" si="172"/>
        <v>1348.9628825916541</v>
      </c>
      <c r="P231" s="189" t="str">
        <f t="shared" si="138"/>
        <v>87</v>
      </c>
      <c r="Q231" s="160" t="str">
        <f t="shared" si="139"/>
        <v>1+63.5683782287289i</v>
      </c>
      <c r="R231" s="160">
        <f t="shared" si="147"/>
        <v>63.576243288124019</v>
      </c>
      <c r="S231" s="160">
        <f t="shared" si="148"/>
        <v>1.5550665323432615</v>
      </c>
      <c r="T231" s="160" t="str">
        <f t="shared" si="140"/>
        <v>1+0.0423789188191525i</v>
      </c>
      <c r="U231" s="160">
        <f t="shared" si="149"/>
        <v>1.0008975835520237</v>
      </c>
      <c r="V231" s="160">
        <f t="shared" si="150"/>
        <v>4.2353575661654819E-2</v>
      </c>
      <c r="W231" s="98" t="str">
        <f t="shared" si="141"/>
        <v>1-0.00600368016604662i</v>
      </c>
      <c r="X231" s="160">
        <f t="shared" si="151"/>
        <v>1.0000180219253731</v>
      </c>
      <c r="Y231" s="160">
        <f t="shared" si="152"/>
        <v>-6.0036080350392993E-3</v>
      </c>
      <c r="Z231" s="98" t="str">
        <f t="shared" si="142"/>
        <v>0.999987059905005+0.0126119662405798i</v>
      </c>
      <c r="AA231" s="160">
        <f t="shared" si="153"/>
        <v>1.0000665886179327</v>
      </c>
      <c r="AB231" s="160">
        <f t="shared" si="154"/>
        <v>1.2611460787023196E-2</v>
      </c>
      <c r="AC231" s="171" t="str">
        <f t="shared" si="155"/>
        <v>0.0540416518851548-1.36853084965104i</v>
      </c>
      <c r="AD231" s="190">
        <f t="shared" si="156"/>
        <v>2.7318588014726526</v>
      </c>
      <c r="AE231" s="169">
        <f t="shared" si="157"/>
        <v>-87.738632911461949</v>
      </c>
      <c r="AF231" s="98" t="str">
        <f t="shared" si="143"/>
        <v>-0.0000673063927557778</v>
      </c>
      <c r="AG231" s="98" t="str">
        <f t="shared" si="144"/>
        <v>0.0000853341909342455i</v>
      </c>
      <c r="AH231" s="98">
        <f t="shared" si="158"/>
        <v>8.5334190934245499E-5</v>
      </c>
      <c r="AI231" s="98">
        <f t="shared" si="159"/>
        <v>1.5707963267948966</v>
      </c>
      <c r="AJ231" s="98" t="str">
        <f t="shared" si="145"/>
        <v>1+0.0858690846156844i</v>
      </c>
      <c r="AK231" s="98">
        <f t="shared" si="160"/>
        <v>1.0036799787246609</v>
      </c>
      <c r="AL231" s="98">
        <f t="shared" si="161"/>
        <v>8.5658961550993049E-2</v>
      </c>
      <c r="AM231" s="98" t="str">
        <f t="shared" si="146"/>
        <v>1+12.7136756457457i</v>
      </c>
      <c r="AN231" s="98">
        <f t="shared" si="162"/>
        <v>12.752942735903245</v>
      </c>
      <c r="AO231" s="98">
        <f t="shared" si="163"/>
        <v>1.4923024732436274</v>
      </c>
      <c r="AP231" s="168" t="str">
        <f t="shared" si="164"/>
        <v>-9.88713897644916+1.63773843664851i</v>
      </c>
      <c r="AQ231" s="98">
        <f t="shared" si="165"/>
        <v>20.018967776198476</v>
      </c>
      <c r="AR231" s="169">
        <f t="shared" si="166"/>
        <v>170.594736499449</v>
      </c>
      <c r="AS231" s="168" t="str">
        <f t="shared" si="167"/>
        <v>1.70697825150734+13.6193607945302i</v>
      </c>
      <c r="AT231" s="190">
        <f t="shared" si="168"/>
        <v>22.750826577671145</v>
      </c>
      <c r="AU231" s="169">
        <f t="shared" si="169"/>
        <v>82.856103587987079</v>
      </c>
      <c r="AV231" s="225"/>
      <c r="AX231">
        <f t="shared" si="170"/>
        <v>0</v>
      </c>
      <c r="AY231">
        <f t="shared" si="171"/>
        <v>0</v>
      </c>
    </row>
    <row r="232" spans="14:51" x14ac:dyDescent="0.25">
      <c r="N232" s="170">
        <v>14</v>
      </c>
      <c r="O232" s="199">
        <f t="shared" si="172"/>
        <v>1380.3842646028863</v>
      </c>
      <c r="P232" s="189" t="str">
        <f t="shared" si="138"/>
        <v>87</v>
      </c>
      <c r="Q232" s="160" t="str">
        <f t="shared" si="139"/>
        <v>1+65.0490759721108i</v>
      </c>
      <c r="R232" s="160">
        <f t="shared" si="147"/>
        <v>65.056762022294365</v>
      </c>
      <c r="S232" s="160">
        <f t="shared" si="148"/>
        <v>1.5554245291211932</v>
      </c>
      <c r="T232" s="160" t="str">
        <f t="shared" si="140"/>
        <v>1+0.0433660506480738i</v>
      </c>
      <c r="U232" s="160">
        <f t="shared" si="149"/>
        <v>1.0009398655008257</v>
      </c>
      <c r="V232" s="160">
        <f t="shared" si="150"/>
        <v>4.3338896342527369E-2</v>
      </c>
      <c r="W232" s="98" t="str">
        <f t="shared" si="141"/>
        <v>1-0.00614352384181046i</v>
      </c>
      <c r="X232" s="160">
        <f t="shared" si="151"/>
        <v>1.0000188712645353</v>
      </c>
      <c r="Y232" s="160">
        <f t="shared" si="152"/>
        <v>-6.143446552122382E-3</v>
      </c>
      <c r="Z232" s="98" t="str">
        <f t="shared" si="142"/>
        <v>0.999986450057117+0.0129057366728668i</v>
      </c>
      <c r="AA232" s="160">
        <f t="shared" si="153"/>
        <v>1.0000697267375431</v>
      </c>
      <c r="AB232" s="160">
        <f t="shared" si="154"/>
        <v>1.2905195071641106E-2</v>
      </c>
      <c r="AC232" s="171" t="str">
        <f t="shared" si="155"/>
        <v>0.053073047364069-1.3374299082006i</v>
      </c>
      <c r="AD232" s="190">
        <f t="shared" si="156"/>
        <v>2.5322542017611815</v>
      </c>
      <c r="AE232" s="169">
        <f t="shared" si="157"/>
        <v>-87.727531791084886</v>
      </c>
      <c r="AF232" s="98" t="str">
        <f t="shared" si="143"/>
        <v>-0.0000673063927557778</v>
      </c>
      <c r="AG232" s="98" t="str">
        <f t="shared" si="144"/>
        <v>0.0000873218795849613i</v>
      </c>
      <c r="AH232" s="98">
        <f t="shared" si="158"/>
        <v>8.7321879584961303E-5</v>
      </c>
      <c r="AI232" s="98">
        <f t="shared" si="159"/>
        <v>1.5707963267948966</v>
      </c>
      <c r="AJ232" s="98" t="str">
        <f t="shared" si="145"/>
        <v>1+0.087869232540793i</v>
      </c>
      <c r="AK232" s="98">
        <f t="shared" si="160"/>
        <v>1.0038530779089676</v>
      </c>
      <c r="AL232" s="98">
        <f t="shared" si="161"/>
        <v>8.764412826835459E-2</v>
      </c>
      <c r="AM232" s="98" t="str">
        <f t="shared" si="146"/>
        <v>1+13.0098151944221i</v>
      </c>
      <c r="AN232" s="98">
        <f t="shared" si="162"/>
        <v>13.048191115745357</v>
      </c>
      <c r="AO232" s="98">
        <f t="shared" si="163"/>
        <v>1.4940821286598824</v>
      </c>
      <c r="AP232" s="168" t="str">
        <f t="shared" si="164"/>
        <v>-9.88372949716906+1.63926070036157i</v>
      </c>
      <c r="AQ232" s="98">
        <f t="shared" si="165"/>
        <v>20.01626788877434</v>
      </c>
      <c r="AR232" s="169">
        <f t="shared" si="166"/>
        <v>170.58296156925334</v>
      </c>
      <c r="AS232" s="168" t="str">
        <f t="shared" si="167"/>
        <v>1.66783664426453+13.3057959948707i</v>
      </c>
      <c r="AT232" s="190">
        <f t="shared" si="168"/>
        <v>22.548522090535499</v>
      </c>
      <c r="AU232" s="169">
        <f t="shared" si="169"/>
        <v>82.855429778168428</v>
      </c>
      <c r="AV232" s="225"/>
      <c r="AX232">
        <f t="shared" si="170"/>
        <v>0</v>
      </c>
      <c r="AY232">
        <f t="shared" si="171"/>
        <v>0</v>
      </c>
    </row>
    <row r="233" spans="14:51" x14ac:dyDescent="0.25">
      <c r="N233" s="170">
        <v>15</v>
      </c>
      <c r="O233" s="199">
        <f t="shared" si="172"/>
        <v>1412.5375446227545</v>
      </c>
      <c r="P233" s="189" t="str">
        <f t="shared" si="138"/>
        <v>87</v>
      </c>
      <c r="Q233" s="160" t="str">
        <f t="shared" si="139"/>
        <v>1+66.5642635965993i</v>
      </c>
      <c r="R233" s="160">
        <f t="shared" si="147"/>
        <v>66.571774710890466</v>
      </c>
      <c r="S233" s="160">
        <f t="shared" si="148"/>
        <v>1.5557743807052231</v>
      </c>
      <c r="T233" s="160" t="str">
        <f t="shared" si="140"/>
        <v>1+0.0443761757310661i</v>
      </c>
      <c r="U233" s="160">
        <f t="shared" si="149"/>
        <v>1.0009841382222369</v>
      </c>
      <c r="V233" s="160">
        <f t="shared" si="150"/>
        <v>4.4347080913245421E-2</v>
      </c>
      <c r="W233" s="98" t="str">
        <f t="shared" si="141"/>
        <v>1-0.00628662489523438i</v>
      </c>
      <c r="X233" s="160">
        <f t="shared" si="151"/>
        <v>1.0000197606310455</v>
      </c>
      <c r="Y233" s="160">
        <f t="shared" si="152"/>
        <v>-6.2865420779298943E-3</v>
      </c>
      <c r="Z233" s="98" t="str">
        <f t="shared" si="142"/>
        <v>0.999985811467982+0.0132063498975653i</v>
      </c>
      <c r="AA233" s="160">
        <f t="shared" si="153"/>
        <v>1.0000730127420174</v>
      </c>
      <c r="AB233" s="160">
        <f t="shared" si="154"/>
        <v>1.3205769563660581E-2</v>
      </c>
      <c r="AC233" s="171" t="str">
        <f t="shared" si="155"/>
        <v>0.0521479764345378-1.30703674950343i</v>
      </c>
      <c r="AD233" s="190">
        <f t="shared" si="156"/>
        <v>2.3326637484961759</v>
      </c>
      <c r="AE233" s="169">
        <f t="shared" si="157"/>
        <v>-87.715232508951374</v>
      </c>
      <c r="AF233" s="98" t="str">
        <f t="shared" si="143"/>
        <v>-0.0000673063927557778</v>
      </c>
      <c r="AG233" s="98" t="str">
        <f t="shared" si="144"/>
        <v>0.0000893558674520747i</v>
      </c>
      <c r="AH233" s="98">
        <f t="shared" si="158"/>
        <v>8.9355867452074704E-5</v>
      </c>
      <c r="AI233" s="98">
        <f t="shared" si="159"/>
        <v>1.5707963267948966</v>
      </c>
      <c r="AJ233" s="98" t="str">
        <f t="shared" si="145"/>
        <v>1+0.0899159698960815i</v>
      </c>
      <c r="AK233" s="98">
        <f t="shared" si="160"/>
        <v>1.004034303020745</v>
      </c>
      <c r="AL233" s="98">
        <f t="shared" si="161"/>
        <v>8.967481863582126E-2</v>
      </c>
      <c r="AM233" s="98" t="str">
        <f t="shared" si="146"/>
        <v>1+13.3128527193198i</v>
      </c>
      <c r="AN233" s="98">
        <f t="shared" si="162"/>
        <v>13.350357580465797</v>
      </c>
      <c r="AO233" s="98">
        <f t="shared" si="163"/>
        <v>1.4958217447741191</v>
      </c>
      <c r="AP233" s="168" t="str">
        <f t="shared" si="164"/>
        <v>-9.8801618534615+1.64162410251672i</v>
      </c>
      <c r="AQ233" s="98">
        <f t="shared" si="165"/>
        <v>20.013551750685558</v>
      </c>
      <c r="AR233" s="169">
        <f t="shared" si="166"/>
        <v>170.56628424301837</v>
      </c>
      <c r="AS233" s="168" t="str">
        <f t="shared" si="167"/>
        <v>1.63043258335621+12.9993420085285i</v>
      </c>
      <c r="AT233" s="190">
        <f t="shared" si="168"/>
        <v>22.346215499181724</v>
      </c>
      <c r="AU233" s="169">
        <f t="shared" si="169"/>
        <v>82.851051734066985</v>
      </c>
      <c r="AV233" s="225"/>
      <c r="AX233">
        <f t="shared" si="170"/>
        <v>0</v>
      </c>
      <c r="AY233">
        <f t="shared" si="171"/>
        <v>0</v>
      </c>
    </row>
    <row r="234" spans="14:51" x14ac:dyDescent="0.25">
      <c r="N234" s="170">
        <v>16</v>
      </c>
      <c r="O234" s="199">
        <f t="shared" si="172"/>
        <v>1445.4397707459289</v>
      </c>
      <c r="P234" s="189" t="str">
        <f t="shared" si="138"/>
        <v>87</v>
      </c>
      <c r="Q234" s="160" t="str">
        <f t="shared" si="139"/>
        <v>1+68.114744474729i</v>
      </c>
      <c r="R234" s="160">
        <f t="shared" si="147"/>
        <v>68.122084633822126</v>
      </c>
      <c r="S234" s="160">
        <f t="shared" si="148"/>
        <v>1.5561162722485311</v>
      </c>
      <c r="T234" s="160" t="str">
        <f t="shared" si="140"/>
        <v>1+0.0454098296498192i</v>
      </c>
      <c r="U234" s="160">
        <f t="shared" si="149"/>
        <v>1.0010304953540754</v>
      </c>
      <c r="V234" s="160">
        <f t="shared" si="150"/>
        <v>4.5378655723903608E-2</v>
      </c>
      <c r="W234" s="98" t="str">
        <f t="shared" si="141"/>
        <v>1-0.00643305920039107i</v>
      </c>
      <c r="X234" s="160">
        <f t="shared" si="151"/>
        <v>1.0000206919112602</v>
      </c>
      <c r="Y234" s="160">
        <f t="shared" si="152"/>
        <v>-6.432970460149675E-3</v>
      </c>
      <c r="Z234" s="98" t="str">
        <f t="shared" si="142"/>
        <v>0.999985142783069+0.0135139653037862i</v>
      </c>
      <c r="AA234" s="160">
        <f t="shared" si="153"/>
        <v>1.0000764535999769</v>
      </c>
      <c r="AB234" s="160">
        <f t="shared" si="154"/>
        <v>1.3513343467344417E-2</v>
      </c>
      <c r="AC234" s="171" t="str">
        <f t="shared" si="155"/>
        <v>0.0512644796169727-1.27733534805505i</v>
      </c>
      <c r="AD234" s="190">
        <f t="shared" si="156"/>
        <v>2.1330883056428456</v>
      </c>
      <c r="AE234" s="169">
        <f t="shared" si="157"/>
        <v>-87.701728983403001</v>
      </c>
      <c r="AF234" s="98" t="str">
        <f t="shared" si="143"/>
        <v>-0.0000673063927557778</v>
      </c>
      <c r="AG234" s="98" t="str">
        <f t="shared" si="144"/>
        <v>0.000091437232982876i</v>
      </c>
      <c r="AH234" s="98">
        <f t="shared" si="158"/>
        <v>9.1437232982876005E-5</v>
      </c>
      <c r="AI234" s="98">
        <f t="shared" si="159"/>
        <v>1.5707963267948966</v>
      </c>
      <c r="AJ234" s="98" t="str">
        <f t="shared" si="145"/>
        <v>1+0.0920103818887875i</v>
      </c>
      <c r="AK234" s="98">
        <f t="shared" si="160"/>
        <v>1.0042240339562285</v>
      </c>
      <c r="AL234" s="98">
        <f t="shared" si="161"/>
        <v>9.175204232348326E-2</v>
      </c>
      <c r="AM234" s="98" t="str">
        <f t="shared" si="146"/>
        <v>1+13.6229488949458i</v>
      </c>
      <c r="AN234" s="98">
        <f t="shared" si="162"/>
        <v>13.659602358571973</v>
      </c>
      <c r="AO234" s="98">
        <f t="shared" si="163"/>
        <v>1.4975222018139662</v>
      </c>
      <c r="AP234" s="168" t="str">
        <f t="shared" si="164"/>
        <v>-9.87642883133975+1.64482792482404i</v>
      </c>
      <c r="AQ234" s="98">
        <f t="shared" si="165"/>
        <v>20.010813720338852</v>
      </c>
      <c r="AR234" s="169">
        <f t="shared" si="166"/>
        <v>170.54469710423726</v>
      </c>
      <c r="AS234" s="168" t="str">
        <f t="shared" si="167"/>
        <v>1.59468686533308+12.6998329064459i</v>
      </c>
      <c r="AT234" s="190">
        <f t="shared" si="168"/>
        <v>22.143902025981724</v>
      </c>
      <c r="AU234" s="169">
        <f t="shared" si="169"/>
        <v>82.842968120834314</v>
      </c>
      <c r="AV234" s="225"/>
      <c r="AX234">
        <f t="shared" si="170"/>
        <v>0</v>
      </c>
      <c r="AY234">
        <f t="shared" si="171"/>
        <v>0</v>
      </c>
    </row>
    <row r="235" spans="14:51" x14ac:dyDescent="0.25">
      <c r="N235" s="170">
        <v>17</v>
      </c>
      <c r="O235" s="199">
        <f t="shared" si="172"/>
        <v>1479.1083881682086</v>
      </c>
      <c r="P235" s="189" t="str">
        <f t="shared" si="138"/>
        <v>87</v>
      </c>
      <c r="Q235" s="160" t="str">
        <f t="shared" si="139"/>
        <v>1+69.7013406919844i</v>
      </c>
      <c r="R235" s="160">
        <f t="shared" si="147"/>
        <v>69.708513786051128</v>
      </c>
      <c r="S235" s="160">
        <f t="shared" si="148"/>
        <v>1.5564503847066464</v>
      </c>
      <c r="T235" s="160" t="str">
        <f t="shared" si="140"/>
        <v>1+0.0464675604613228i</v>
      </c>
      <c r="U235" s="160">
        <f t="shared" si="149"/>
        <v>1.0010790349294238</v>
      </c>
      <c r="V235" s="160">
        <f t="shared" si="150"/>
        <v>4.6434158942147953E-2</v>
      </c>
      <c r="W235" s="98" t="str">
        <f t="shared" si="141"/>
        <v>1-0.00658290439868742i</v>
      </c>
      <c r="X235" s="160">
        <f t="shared" si="151"/>
        <v>1.0000216670804301</v>
      </c>
      <c r="Y235" s="160">
        <f t="shared" si="152"/>
        <v>-6.5828093119168832E-3</v>
      </c>
      <c r="Z235" s="98" t="str">
        <f t="shared" si="142"/>
        <v>0.999984442584007+0.0138287459932897i</v>
      </c>
      <c r="AA235" s="160">
        <f t="shared" si="153"/>
        <v>1.0000800566083667</v>
      </c>
      <c r="AB235" s="160">
        <f t="shared" si="154"/>
        <v>1.3828079686388214E-2</v>
      </c>
      <c r="AC235" s="171" t="str">
        <f t="shared" si="155"/>
        <v>0.0504206853769883-1.24831003916551i</v>
      </c>
      <c r="AD235" s="190">
        <f t="shared" si="156"/>
        <v>1.9335287685618483</v>
      </c>
      <c r="AE235" s="169">
        <f t="shared" si="157"/>
        <v>-87.687014528292337</v>
      </c>
      <c r="AF235" s="98" t="str">
        <f t="shared" si="143"/>
        <v>-0.0000673063927557778</v>
      </c>
      <c r="AG235" s="98" t="str">
        <f t="shared" si="144"/>
        <v>0.0000935670797449197i</v>
      </c>
      <c r="AH235" s="98">
        <f t="shared" si="158"/>
        <v>9.35670797449197E-5</v>
      </c>
      <c r="AI235" s="98">
        <f t="shared" si="159"/>
        <v>1.5707963267948966</v>
      </c>
      <c r="AJ235" s="98" t="str">
        <f t="shared" si="145"/>
        <v>1+0.0941535790038723i</v>
      </c>
      <c r="AK235" s="98">
        <f t="shared" si="160"/>
        <v>1.0044226682225159</v>
      </c>
      <c r="AL235" s="98">
        <f t="shared" si="161"/>
        <v>9.3876828959783498E-2</v>
      </c>
      <c r="AM235" s="98" t="str">
        <f t="shared" si="146"/>
        <v>1+13.9402681383968i</v>
      </c>
      <c r="AN235" s="98">
        <f t="shared" si="162"/>
        <v>13.976089430538179</v>
      </c>
      <c r="AO235" s="98">
        <f t="shared" si="163"/>
        <v>1.4991843620265151</v>
      </c>
      <c r="AP235" s="168" t="str">
        <f t="shared" si="164"/>
        <v>-9.87252289955545+1.64887175751685i</v>
      </c>
      <c r="AQ235" s="98">
        <f t="shared" si="165"/>
        <v>20.008048113479639</v>
      </c>
      <c r="AR235" s="169">
        <f t="shared" si="166"/>
        <v>170.5181905626651</v>
      </c>
      <c r="AS235" s="168" t="str">
        <f t="shared" si="167"/>
        <v>1.56052379720916+12.4071066915192i</v>
      </c>
      <c r="AT235" s="190">
        <f t="shared" si="168"/>
        <v>21.941576882041474</v>
      </c>
      <c r="AU235" s="169">
        <f t="shared" si="169"/>
        <v>82.831176034372788</v>
      </c>
      <c r="AV235" s="225"/>
      <c r="AX235">
        <f t="shared" si="170"/>
        <v>0</v>
      </c>
      <c r="AY235">
        <f t="shared" si="171"/>
        <v>0</v>
      </c>
    </row>
    <row r="236" spans="14:51" x14ac:dyDescent="0.25">
      <c r="N236" s="170">
        <v>18</v>
      </c>
      <c r="O236" s="199">
        <f t="shared" si="172"/>
        <v>1513.5612484362093</v>
      </c>
      <c r="P236" s="189" t="str">
        <f t="shared" si="138"/>
        <v>87</v>
      </c>
      <c r="Q236" s="160" t="str">
        <f t="shared" si="139"/>
        <v>1+71.324893482681i</v>
      </c>
      <c r="R236" s="160">
        <f t="shared" si="147"/>
        <v>71.331903313424846</v>
      </c>
      <c r="S236" s="160">
        <f t="shared" si="148"/>
        <v>1.556776894931867</v>
      </c>
      <c r="T236" s="160" t="str">
        <f t="shared" si="140"/>
        <v>1+0.0475499289884539i</v>
      </c>
      <c r="U236" s="160">
        <f t="shared" si="149"/>
        <v>1.0011298595820659</v>
      </c>
      <c r="V236" s="160">
        <f t="shared" si="150"/>
        <v>4.7514140797024249E-2</v>
      </c>
      <c r="W236" s="98" t="str">
        <f t="shared" si="141"/>
        <v>1-0.00673623994003098i</v>
      </c>
      <c r="X236" s="160">
        <f t="shared" si="151"/>
        <v>1.0000226882068874</v>
      </c>
      <c r="Y236" s="160">
        <f t="shared" si="152"/>
        <v>-6.7361380528455231E-3</v>
      </c>
      <c r="Z236" s="98" t="str">
        <f t="shared" si="142"/>
        <v>0.99998370938558+0.0141508588669639i</v>
      </c>
      <c r="AA236" s="160">
        <f t="shared" si="153"/>
        <v>1.0000838294079237</v>
      </c>
      <c r="AB236" s="160">
        <f t="shared" si="154"/>
        <v>1.4150144909454114E-2</v>
      </c>
      <c r="AC236" s="171" t="str">
        <f t="shared" si="155"/>
        <v>0.0496148061766634-1.2199455110511i</v>
      </c>
      <c r="AD236" s="190">
        <f t="shared" si="156"/>
        <v>1.7339860658652151</v>
      </c>
      <c r="AE236" s="169">
        <f t="shared" si="157"/>
        <v>-87.67108185167308</v>
      </c>
      <c r="AF236" s="98" t="str">
        <f t="shared" si="143"/>
        <v>-0.0000673063927557778</v>
      </c>
      <c r="AG236" s="98" t="str">
        <f t="shared" si="144"/>
        <v>0.0000957465370111508i</v>
      </c>
      <c r="AH236" s="98">
        <f t="shared" si="158"/>
        <v>9.5746537011150799E-5</v>
      </c>
      <c r="AI236" s="98">
        <f t="shared" si="159"/>
        <v>1.5707963267948966</v>
      </c>
      <c r="AJ236" s="98" t="str">
        <f t="shared" si="145"/>
        <v>1+0.0963466975928148i</v>
      </c>
      <c r="AK236" s="98">
        <f t="shared" si="160"/>
        <v>1.0046306217396725</v>
      </c>
      <c r="AL236" s="98">
        <f t="shared" si="161"/>
        <v>9.605022834986246E-2</v>
      </c>
      <c r="AM236" s="98" t="str">
        <f t="shared" si="146"/>
        <v>1+14.2649786965362i</v>
      </c>
      <c r="AN236" s="98">
        <f t="shared" si="162"/>
        <v>14.29998661582002</v>
      </c>
      <c r="AO236" s="98">
        <f t="shared" si="163"/>
        <v>1.5008090699530974</v>
      </c>
      <c r="AP236" s="168" t="str">
        <f t="shared" si="164"/>
        <v>-9.86843619677603+1.65375548979916i</v>
      </c>
      <c r="AQ236" s="98">
        <f t="shared" si="165"/>
        <v>20.005249192158473</v>
      </c>
      <c r="AR236" s="169">
        <f t="shared" si="166"/>
        <v>170.48675285755189</v>
      </c>
      <c r="AS236" s="168" t="str">
        <f t="shared" si="167"/>
        <v>1.52787103698679+12.1210051974411i</v>
      </c>
      <c r="AT236" s="190">
        <f t="shared" si="168"/>
        <v>21.739235258023697</v>
      </c>
      <c r="AU236" s="169">
        <f t="shared" si="169"/>
        <v>82.815671005878812</v>
      </c>
      <c r="AV236" s="225"/>
      <c r="AX236">
        <f t="shared" si="170"/>
        <v>0</v>
      </c>
      <c r="AY236">
        <f t="shared" si="171"/>
        <v>0</v>
      </c>
    </row>
    <row r="237" spans="14:51" x14ac:dyDescent="0.25">
      <c r="N237" s="170">
        <v>19</v>
      </c>
      <c r="O237" s="199">
        <f t="shared" si="172"/>
        <v>1548.8166189124822</v>
      </c>
      <c r="P237" s="189" t="str">
        <f t="shared" si="138"/>
        <v>87</v>
      </c>
      <c r="Q237" s="160" t="str">
        <f t="shared" si="139"/>
        <v>1+72.9862636759987i</v>
      </c>
      <c r="R237" s="160">
        <f t="shared" si="147"/>
        <v>72.993113958663301</v>
      </c>
      <c r="S237" s="160">
        <f t="shared" si="148"/>
        <v>1.5570959757656049</v>
      </c>
      <c r="T237" s="160" t="str">
        <f t="shared" si="140"/>
        <v>1+0.0486575091173323i</v>
      </c>
      <c r="U237" s="160">
        <f t="shared" si="149"/>
        <v>1.0011830767614398</v>
      </c>
      <c r="V237" s="160">
        <f t="shared" si="150"/>
        <v>4.8619163826288433E-2</v>
      </c>
      <c r="W237" s="98" t="str">
        <f t="shared" si="141"/>
        <v>1-0.00689314712495543i</v>
      </c>
      <c r="X237" s="160">
        <f t="shared" si="151"/>
        <v>1.0000237574564348</v>
      </c>
      <c r="Y237" s="160">
        <f t="shared" si="152"/>
        <v>-6.8930379510093358E-3</v>
      </c>
      <c r="Z237" s="98" t="str">
        <f t="shared" si="142"/>
        <v>0.999982941632576+0.0144804747133181i</v>
      </c>
      <c r="AA237" s="160">
        <f t="shared" si="153"/>
        <v>1.0000877799993673</v>
      </c>
      <c r="AB237" s="160">
        <f t="shared" si="154"/>
        <v>1.4479709697651832E-2</v>
      </c>
      <c r="AC237" s="171" t="str">
        <f t="shared" si="155"/>
        <v>0.0488451347021219-1.1922267970866i</v>
      </c>
      <c r="AD237" s="190">
        <f t="shared" si="156"/>
        <v>1.5344611613381287</v>
      </c>
      <c r="AE237" s="169">
        <f t="shared" si="157"/>
        <v>-87.653923054338861</v>
      </c>
      <c r="AF237" s="98" t="str">
        <f t="shared" si="143"/>
        <v>-0.0000673063927557778</v>
      </c>
      <c r="AG237" s="98" t="str">
        <f t="shared" si="144"/>
        <v>0.0000979767603586604i</v>
      </c>
      <c r="AH237" s="98">
        <f t="shared" si="158"/>
        <v>9.7976760358660405E-5</v>
      </c>
      <c r="AI237" s="98">
        <f t="shared" si="159"/>
        <v>1.5707963267948966</v>
      </c>
      <c r="AJ237" s="98" t="str">
        <f t="shared" si="145"/>
        <v>1+0.0985909004761203i</v>
      </c>
      <c r="AK237" s="98">
        <f t="shared" si="160"/>
        <v>1.0048483296780129</v>
      </c>
      <c r="AL237" s="98">
        <f t="shared" si="161"/>
        <v>9.8273310682318649E-2</v>
      </c>
      <c r="AM237" s="98" t="str">
        <f t="shared" si="146"/>
        <v>1+14.5972527351997i</v>
      </c>
      <c r="AN237" s="98">
        <f t="shared" si="162"/>
        <v>14.631465661897824</v>
      </c>
      <c r="AO237" s="98">
        <f t="shared" si="163"/>
        <v>1.5023971527064839</v>
      </c>
      <c r="AP237" s="168" t="str">
        <f t="shared" si="164"/>
        <v>-9.8641605183515+1.65947929983919i</v>
      </c>
      <c r="AQ237" s="98">
        <f t="shared" si="165"/>
        <v>20.002411153620102</v>
      </c>
      <c r="AR237" s="169">
        <f t="shared" si="166"/>
        <v>170.4503700616786</v>
      </c>
      <c r="AS237" s="168" t="str">
        <f t="shared" si="167"/>
        <v>1.49665944123656+11.8413739906783i</v>
      </c>
      <c r="AT237" s="190">
        <f t="shared" si="168"/>
        <v>21.536872314958199</v>
      </c>
      <c r="AU237" s="169">
        <f t="shared" si="169"/>
        <v>82.796447007339737</v>
      </c>
      <c r="AV237" s="225"/>
      <c r="AX237">
        <f t="shared" si="170"/>
        <v>0</v>
      </c>
      <c r="AY237">
        <f t="shared" si="171"/>
        <v>0</v>
      </c>
    </row>
    <row r="238" spans="14:51" x14ac:dyDescent="0.25">
      <c r="N238" s="170">
        <v>20</v>
      </c>
      <c r="O238" s="199">
        <f t="shared" si="172"/>
        <v>1584.8931924611156</v>
      </c>
      <c r="P238" s="189" t="str">
        <f t="shared" si="138"/>
        <v>87</v>
      </c>
      <c r="Q238" s="160" t="str">
        <f t="shared" si="139"/>
        <v>1+74.6863321524049i</v>
      </c>
      <c r="R238" s="160">
        <f t="shared" si="147"/>
        <v>74.693026517736925</v>
      </c>
      <c r="S238" s="160">
        <f t="shared" si="148"/>
        <v>1.5574077961287009</v>
      </c>
      <c r="T238" s="160" t="str">
        <f t="shared" si="140"/>
        <v>1+0.0497908881016031i</v>
      </c>
      <c r="U238" s="160">
        <f t="shared" si="149"/>
        <v>1.0012387989575446</v>
      </c>
      <c r="V238" s="160">
        <f t="shared" si="150"/>
        <v>4.9749803127106161E-2</v>
      </c>
      <c r="W238" s="98" t="str">
        <f t="shared" si="141"/>
        <v>1-0.00705370914772713i</v>
      </c>
      <c r="X238" s="160">
        <f t="shared" si="151"/>
        <v>1.0000248770969353</v>
      </c>
      <c r="Y238" s="160">
        <f t="shared" si="152"/>
        <v>-7.0535921658934318E-3</v>
      </c>
      <c r="Z238" s="98" t="str">
        <f t="shared" si="142"/>
        <v>0.999982137696487+0.0148177682990371i</v>
      </c>
      <c r="AA238" s="160">
        <f t="shared" si="153"/>
        <v>1.0000919167603544</v>
      </c>
      <c r="AB238" s="160">
        <f t="shared" si="154"/>
        <v>1.4816948574008308E-2</v>
      </c>
      <c r="AC238" s="171" t="str">
        <f t="shared" si="155"/>
        <v>0.0481100402595942-1.16513926821581i</v>
      </c>
      <c r="AD238" s="190">
        <f t="shared" si="156"/>
        <v>1.3349550559308243</v>
      </c>
      <c r="AE238" s="169">
        <f t="shared" si="157"/>
        <v>-87.63552962822088</v>
      </c>
      <c r="AF238" s="98" t="str">
        <f t="shared" si="143"/>
        <v>-0.0000673063927557778</v>
      </c>
      <c r="AG238" s="98" t="str">
        <f t="shared" si="144"/>
        <v>0.000100258932281388i</v>
      </c>
      <c r="AH238" s="98">
        <f t="shared" si="158"/>
        <v>1.0025893228138799E-4</v>
      </c>
      <c r="AI238" s="98">
        <f t="shared" si="159"/>
        <v>1.5707963267948966</v>
      </c>
      <c r="AJ238" s="98" t="str">
        <f t="shared" si="145"/>
        <v>1+0.100887377559863i</v>
      </c>
      <c r="AK238" s="98">
        <f t="shared" si="160"/>
        <v>1.0050762473319657</v>
      </c>
      <c r="AL238" s="98">
        <f t="shared" si="161"/>
        <v>0.10054716672303585</v>
      </c>
      <c r="AM238" s="98" t="str">
        <f t="shared" si="146"/>
        <v>1+14.9372664304809i</v>
      </c>
      <c r="AN238" s="98">
        <f t="shared" si="162"/>
        <v>14.970702335400686</v>
      </c>
      <c r="AO238" s="98">
        <f t="shared" si="163"/>
        <v>1.503949420249924</v>
      </c>
      <c r="AP238" s="168" t="str">
        <f t="shared" si="164"/>
        <v>-9.85968730267372+1.66604364426698i</v>
      </c>
      <c r="AQ238" s="98">
        <f t="shared" si="165"/>
        <v>19.999528119104266</v>
      </c>
      <c r="AR238" s="169">
        <f t="shared" si="166"/>
        <v>170.40902608623944</v>
      </c>
      <c r="AS238" s="168" t="str">
        <f t="shared" si="167"/>
        <v>1.46682291941819+11.5680622754739i</v>
      </c>
      <c r="AT238" s="190">
        <f t="shared" si="168"/>
        <v>21.334483175035093</v>
      </c>
      <c r="AU238" s="169">
        <f t="shared" si="169"/>
        <v>82.773496458018556</v>
      </c>
      <c r="AV238" s="225"/>
      <c r="AX238">
        <f t="shared" si="170"/>
        <v>0</v>
      </c>
      <c r="AY238">
        <f t="shared" si="171"/>
        <v>0</v>
      </c>
    </row>
    <row r="239" spans="14:51" x14ac:dyDescent="0.25">
      <c r="N239" s="170">
        <v>21</v>
      </c>
      <c r="O239" s="199">
        <f t="shared" si="172"/>
        <v>1621.8100973589308</v>
      </c>
      <c r="P239" s="189" t="str">
        <f t="shared" si="138"/>
        <v>87</v>
      </c>
      <c r="Q239" s="160" t="str">
        <f t="shared" si="139"/>
        <v>1+76.4260003107084i</v>
      </c>
      <c r="R239" s="160">
        <f t="shared" si="147"/>
        <v>76.432542306876073</v>
      </c>
      <c r="S239" s="160">
        <f t="shared" si="148"/>
        <v>1.5577125211097487</v>
      </c>
      <c r="T239" s="160" t="str">
        <f t="shared" si="140"/>
        <v>1+0.0509506668738055i</v>
      </c>
      <c r="U239" s="160">
        <f t="shared" si="149"/>
        <v>1.001297143936247</v>
      </c>
      <c r="V239" s="160">
        <f t="shared" si="150"/>
        <v>5.0906646610052467E-2</v>
      </c>
      <c r="W239" s="98" t="str">
        <f t="shared" si="141"/>
        <v>1-0.00721801114045579i</v>
      </c>
      <c r="X239" s="160">
        <f t="shared" si="151"/>
        <v>1.0000260495031235</v>
      </c>
      <c r="Y239" s="160">
        <f t="shared" si="152"/>
        <v>-7.2178857923389681E-3</v>
      </c>
      <c r="Z239" s="98" t="str">
        <f t="shared" si="142"/>
        <v>0.999981295872058+0.0151629184616445i</v>
      </c>
      <c r="AA239" s="160">
        <f t="shared" si="153"/>
        <v>1.0000962484632339</v>
      </c>
      <c r="AB239" s="160">
        <f t="shared" si="154"/>
        <v>1.5162040114968826E-2</v>
      </c>
      <c r="AC239" s="171" t="str">
        <f t="shared" si="155"/>
        <v>0.0474079653324646-1.13866862551802i</v>
      </c>
      <c r="AD239" s="190">
        <f t="shared" si="156"/>
        <v>1.1354687898246922</v>
      </c>
      <c r="AE239" s="169">
        <f t="shared" si="157"/>
        <v>-87.61589245465602</v>
      </c>
      <c r="AF239" s="98" t="str">
        <f t="shared" si="143"/>
        <v>-0.0000673063927557778</v>
      </c>
      <c r="AG239" s="98" t="str">
        <f t="shared" si="144"/>
        <v>0.000102594262817095i</v>
      </c>
      <c r="AH239" s="98">
        <f t="shared" si="158"/>
        <v>1.0259426281709501E-4</v>
      </c>
      <c r="AI239" s="98">
        <f t="shared" si="159"/>
        <v>1.5707963267948966</v>
      </c>
      <c r="AJ239" s="98" t="str">
        <f t="shared" si="145"/>
        <v>1+0.10323734646659i</v>
      </c>
      <c r="AK239" s="98">
        <f t="shared" si="160"/>
        <v>1.0053148510319851</v>
      </c>
      <c r="AL239" s="98">
        <f t="shared" si="161"/>
        <v>0.1028729079946344</v>
      </c>
      <c r="AM239" s="98" t="str">
        <f t="shared" si="146"/>
        <v>1+15.2852000621416i</v>
      </c>
      <c r="AN239" s="98">
        <f t="shared" si="162"/>
        <v>15.317876515355957</v>
      </c>
      <c r="AO239" s="98">
        <f t="shared" si="163"/>
        <v>1.5054666656774485</v>
      </c>
      <c r="AP239" s="168" t="str">
        <f t="shared" si="164"/>
        <v>-9.85500761712376+1.67344924713088i</v>
      </c>
      <c r="AQ239" s="98">
        <f t="shared" si="165"/>
        <v>19.996594122539761</v>
      </c>
      <c r="AR239" s="169">
        <f t="shared" si="166"/>
        <v>170.36270268662011</v>
      </c>
      <c r="AS239" s="168" t="str">
        <f t="shared" si="167"/>
        <v>1.43829829464091+11.3009228017536i</v>
      </c>
      <c r="AT239" s="190">
        <f t="shared" si="168"/>
        <v>21.132062912364489</v>
      </c>
      <c r="AU239" s="169">
        <f t="shared" si="169"/>
        <v>82.746810231964119</v>
      </c>
      <c r="AV239" s="225"/>
      <c r="AX239">
        <f t="shared" si="170"/>
        <v>0</v>
      </c>
      <c r="AY239">
        <f t="shared" si="171"/>
        <v>0</v>
      </c>
    </row>
    <row r="240" spans="14:51" x14ac:dyDescent="0.25">
      <c r="N240" s="170">
        <v>22</v>
      </c>
      <c r="O240" s="199">
        <f t="shared" si="172"/>
        <v>1659.5869074375626</v>
      </c>
      <c r="P240" s="189" t="str">
        <f t="shared" si="138"/>
        <v>87</v>
      </c>
      <c r="Q240" s="160" t="str">
        <f t="shared" si="139"/>
        <v>1+78.2061905459949i</v>
      </c>
      <c r="R240" s="160">
        <f t="shared" si="147"/>
        <v>78.212583640463265</v>
      </c>
      <c r="S240" s="160">
        <f t="shared" si="148"/>
        <v>1.558010312051469</v>
      </c>
      <c r="T240" s="160" t="str">
        <f t="shared" si="140"/>
        <v>1+0.0521374603639965i</v>
      </c>
      <c r="U240" s="160">
        <f t="shared" si="149"/>
        <v>1.0013582349854657</v>
      </c>
      <c r="V240" s="160">
        <f t="shared" si="150"/>
        <v>5.2090295256315283E-2</v>
      </c>
      <c r="W240" s="98" t="str">
        <f t="shared" si="141"/>
        <v>1-0.00738614021823285i</v>
      </c>
      <c r="X240" s="160">
        <f t="shared" si="151"/>
        <v>1.0000272771616399</v>
      </c>
      <c r="Y240" s="160">
        <f t="shared" si="152"/>
        <v>-7.3860059055036644E-3</v>
      </c>
      <c r="Z240" s="98" t="str">
        <f t="shared" si="142"/>
        <v>0.999980414373665+0.0155161082043254i</v>
      </c>
      <c r="AA240" s="160">
        <f t="shared" si="153"/>
        <v>1.0001007842936307</v>
      </c>
      <c r="AB240" s="160">
        <f t="shared" si="154"/>
        <v>1.5515167043974574E-2</v>
      </c>
      <c r="AC240" s="171" t="str">
        <f t="shared" si="155"/>
        <v>0.0467374222921314-1.11280089292792i</v>
      </c>
      <c r="AD240" s="190">
        <f t="shared" si="156"/>
        <v>0.93600344457579854</v>
      </c>
      <c r="AE240" s="169">
        <f t="shared" si="157"/>
        <v>-87.595001802536629</v>
      </c>
      <c r="AF240" s="98" t="str">
        <f t="shared" si="143"/>
        <v>-0.0000673063927557778</v>
      </c>
      <c r="AG240" s="98" t="str">
        <f t="shared" si="144"/>
        <v>0.000104983990188943i</v>
      </c>
      <c r="AH240" s="98">
        <f t="shared" si="158"/>
        <v>1.04983990188943E-4</v>
      </c>
      <c r="AI240" s="98">
        <f t="shared" si="159"/>
        <v>1.5707963267948966</v>
      </c>
      <c r="AJ240" s="98" t="str">
        <f t="shared" si="145"/>
        <v>1+0.105642053180923i</v>
      </c>
      <c r="AK240" s="98">
        <f t="shared" si="160"/>
        <v>1.005564639096006</v>
      </c>
      <c r="AL240" s="98">
        <f t="shared" si="161"/>
        <v>0.10525166694000454</v>
      </c>
      <c r="AM240" s="98" t="str">
        <f t="shared" si="146"/>
        <v>1+15.6412381091989i</v>
      </c>
      <c r="AN240" s="98">
        <f t="shared" si="162"/>
        <v>15.673172288616495</v>
      </c>
      <c r="AO240" s="98">
        <f t="shared" si="163"/>
        <v>1.506949665494935</v>
      </c>
      <c r="AP240" s="168" t="str">
        <f t="shared" si="164"/>
        <v>-9.8501121436113+1.68169708826613i</v>
      </c>
      <c r="AQ240" s="98">
        <f t="shared" si="165"/>
        <v>19.993603099119127</v>
      </c>
      <c r="AR240" s="169">
        <f t="shared" si="166"/>
        <v>170.31137946913208</v>
      </c>
      <c r="AS240" s="168" t="str">
        <f t="shared" si="167"/>
        <v>1.41102517057602+11.0398117758325i</v>
      </c>
      <c r="AT240" s="190">
        <f t="shared" si="168"/>
        <v>20.929606543694888</v>
      </c>
      <c r="AU240" s="169">
        <f t="shared" si="169"/>
        <v>82.71637766659542</v>
      </c>
      <c r="AV240" s="225"/>
      <c r="AX240">
        <f t="shared" si="170"/>
        <v>0</v>
      </c>
      <c r="AY240">
        <f t="shared" si="171"/>
        <v>0</v>
      </c>
    </row>
    <row r="241" spans="14:51" x14ac:dyDescent="0.25">
      <c r="N241" s="170">
        <v>23</v>
      </c>
      <c r="O241" s="199">
        <f t="shared" si="172"/>
        <v>1698.2436524617447</v>
      </c>
      <c r="P241" s="189" t="str">
        <f t="shared" si="138"/>
        <v>87</v>
      </c>
      <c r="Q241" s="160" t="str">
        <f t="shared" si="139"/>
        <v>1+80.0278467386897i</v>
      </c>
      <c r="R241" s="160">
        <f t="shared" si="147"/>
        <v>80.034094320053441</v>
      </c>
      <c r="S241" s="160">
        <f t="shared" si="148"/>
        <v>1.5583013266351764</v>
      </c>
      <c r="T241" s="160" t="str">
        <f t="shared" si="140"/>
        <v>1+0.053351897825793i</v>
      </c>
      <c r="U241" s="160">
        <f t="shared" si="149"/>
        <v>1.001422201172719</v>
      </c>
      <c r="V241" s="160">
        <f t="shared" si="150"/>
        <v>5.3301363377982545E-2</v>
      </c>
      <c r="W241" s="98" t="str">
        <f t="shared" si="141"/>
        <v>1-0.00755818552532069i</v>
      </c>
      <c r="X241" s="160">
        <f t="shared" si="151"/>
        <v>1.0000285626763044</v>
      </c>
      <c r="Y241" s="160">
        <f t="shared" si="152"/>
        <v>-7.5580416068604358E-3</v>
      </c>
      <c r="Z241" s="98" t="str">
        <f t="shared" si="142"/>
        <v>0.999979491331533+0.015877524792956i</v>
      </c>
      <c r="AA241" s="160">
        <f t="shared" si="153"/>
        <v>1.0001055338699123</v>
      </c>
      <c r="AB241" s="160">
        <f t="shared" si="154"/>
        <v>1.5876516327158027E-2</v>
      </c>
      <c r="AC241" s="171" t="str">
        <f t="shared" si="155"/>
        <v>0.0460969902558369-1.08752241010667i</v>
      </c>
      <c r="AD241" s="190">
        <f t="shared" si="156"/>
        <v>0.73656014534099379</v>
      </c>
      <c r="AE241" s="169">
        <f t="shared" si="157"/>
        <v>-87.572847326355244</v>
      </c>
      <c r="AF241" s="98" t="str">
        <f t="shared" si="143"/>
        <v>-0.0000673063927557778</v>
      </c>
      <c r="AG241" s="98" t="str">
        <f t="shared" si="144"/>
        <v>0.000107429381462017i</v>
      </c>
      <c r="AH241" s="98">
        <f t="shared" si="158"/>
        <v>1.0742938146201699E-4</v>
      </c>
      <c r="AI241" s="98">
        <f t="shared" si="159"/>
        <v>1.5707963267948966</v>
      </c>
      <c r="AJ241" s="98" t="str">
        <f t="shared" si="145"/>
        <v>1+0.108102772710188i</v>
      </c>
      <c r="AK241" s="98">
        <f t="shared" si="160"/>
        <v>1.0058261328219855</v>
      </c>
      <c r="AL241" s="98">
        <f t="shared" si="161"/>
        <v>0.10768459706825974</v>
      </c>
      <c r="AM241" s="98" t="str">
        <f t="shared" si="146"/>
        <v>1+16.0055693477379i</v>
      </c>
      <c r="AN241" s="98">
        <f t="shared" si="162"/>
        <v>16.036778047514627</v>
      </c>
      <c r="AO241" s="98">
        <f t="shared" si="163"/>
        <v>1.5083991799014584</v>
      </c>
      <c r="AP241" s="168" t="str">
        <f t="shared" si="164"/>
        <v>-9.844991163708+1.69078839102603i</v>
      </c>
      <c r="AQ241" s="98">
        <f t="shared" si="165"/>
        <v>19.990548873738511</v>
      </c>
      <c r="AR241" s="169">
        <f t="shared" si="166"/>
        <v>170.25503389877002</v>
      </c>
      <c r="AS241" s="168" t="str">
        <f t="shared" si="167"/>
        <v>1.38494580424676+10.7845887738204i</v>
      </c>
      <c r="AT241" s="190">
        <f t="shared" si="168"/>
        <v>20.727109019079499</v>
      </c>
      <c r="AU241" s="169">
        <f t="shared" si="169"/>
        <v>82.682186572414764</v>
      </c>
      <c r="AV241" s="225"/>
      <c r="AX241">
        <f t="shared" si="170"/>
        <v>0</v>
      </c>
      <c r="AY241">
        <f t="shared" si="171"/>
        <v>0</v>
      </c>
    </row>
    <row r="242" spans="14:51" x14ac:dyDescent="0.25">
      <c r="N242" s="170">
        <v>24</v>
      </c>
      <c r="O242" s="199">
        <f t="shared" si="172"/>
        <v>1737.8008287493772</v>
      </c>
      <c r="P242" s="189" t="str">
        <f t="shared" si="138"/>
        <v>87</v>
      </c>
      <c r="Q242" s="160" t="str">
        <f t="shared" si="139"/>
        <v>1+81.8919347550197i</v>
      </c>
      <c r="R242" s="160">
        <f t="shared" si="147"/>
        <v>81.898040134794456</v>
      </c>
      <c r="S242" s="160">
        <f t="shared" si="148"/>
        <v>1.5585857189633749</v>
      </c>
      <c r="T242" s="160" t="str">
        <f t="shared" si="140"/>
        <v>1+0.054594623170013i</v>
      </c>
      <c r="U242" s="160">
        <f t="shared" si="149"/>
        <v>1.001489177614554</v>
      </c>
      <c r="V242" s="160">
        <f t="shared" si="150"/>
        <v>5.4540478881290905E-2</v>
      </c>
      <c r="W242" s="98" t="str">
        <f t="shared" si="141"/>
        <v>1-0.00773423828241852i</v>
      </c>
      <c r="X242" s="160">
        <f t="shared" si="151"/>
        <v>1.0000299087736373</v>
      </c>
      <c r="Y242" s="160">
        <f t="shared" si="152"/>
        <v>-7.7340840712590729E-3</v>
      </c>
      <c r="Z242" s="98" t="str">
        <f t="shared" si="142"/>
        <v>0.999978524787766+0.0162473598553959i</v>
      </c>
      <c r="AA242" s="160">
        <f t="shared" si="153"/>
        <v>1.0001105072635661</v>
      </c>
      <c r="AB242" s="160">
        <f t="shared" si="154"/>
        <v>1.6246279271205817E-2</v>
      </c>
      <c r="AC242" s="171" t="str">
        <f t="shared" si="155"/>
        <v>0.0454853120849014-1.06281982546145i</v>
      </c>
      <c r="AD242" s="190">
        <f t="shared" si="156"/>
        <v>0.53714006318892749</v>
      </c>
      <c r="AE242" s="169">
        <f t="shared" si="157"/>
        <v>-87.549418064157521</v>
      </c>
      <c r="AF242" s="98" t="str">
        <f t="shared" si="143"/>
        <v>-0.0000673063927557778</v>
      </c>
      <c r="AG242" s="98" t="str">
        <f t="shared" si="144"/>
        <v>0.000109931733215138i</v>
      </c>
      <c r="AH242" s="98">
        <f t="shared" si="158"/>
        <v>1.0993173321513799E-4</v>
      </c>
      <c r="AI242" s="98">
        <f t="shared" si="159"/>
        <v>1.5707963267948966</v>
      </c>
      <c r="AJ242" s="98" t="str">
        <f t="shared" si="145"/>
        <v>1+0.110620809760455i</v>
      </c>
      <c r="AK242" s="98">
        <f t="shared" si="160"/>
        <v>1.0060998775231307</v>
      </c>
      <c r="AL242" s="98">
        <f t="shared" si="161"/>
        <v>0.11017287308137998</v>
      </c>
      <c r="AM242" s="98" t="str">
        <f t="shared" si="146"/>
        <v>1+16.3783869510039i</v>
      </c>
      <c r="AN242" s="98">
        <f t="shared" si="162"/>
        <v>16.408886589796847</v>
      </c>
      <c r="AO242" s="98">
        <f t="shared" si="163"/>
        <v>1.5098159530704973</v>
      </c>
      <c r="AP242" s="168" t="str">
        <f t="shared" si="164"/>
        <v>-9.83963454338114+1.70072460932425i</v>
      </c>
      <c r="AQ242" s="98">
        <f t="shared" si="165"/>
        <v>19.987425149289336</v>
      </c>
      <c r="AR242" s="169">
        <f t="shared" si="166"/>
        <v>170.19364130806787</v>
      </c>
      <c r="AS242" s="168" t="str">
        <f t="shared" si="167"/>
        <v>1.36000498443292+10.5351166576264i</v>
      </c>
      <c r="AT242" s="190">
        <f t="shared" si="168"/>
        <v>20.524565212478279</v>
      </c>
      <c r="AU242" s="169">
        <f t="shared" si="169"/>
        <v>82.644223243910375</v>
      </c>
      <c r="AV242" s="225"/>
      <c r="AX242">
        <f t="shared" si="170"/>
        <v>0</v>
      </c>
      <c r="AY242">
        <f t="shared" si="171"/>
        <v>0</v>
      </c>
    </row>
    <row r="243" spans="14:51" x14ac:dyDescent="0.25">
      <c r="N243" s="170">
        <v>25</v>
      </c>
      <c r="O243" s="199">
        <f t="shared" si="172"/>
        <v>1778.2794100389244</v>
      </c>
      <c r="P243" s="189" t="str">
        <f t="shared" si="138"/>
        <v>87</v>
      </c>
      <c r="Q243" s="160" t="str">
        <f t="shared" si="139"/>
        <v>1+83.7994429591247i</v>
      </c>
      <c r="R243" s="160">
        <f t="shared" si="147"/>
        <v>83.805409373498051</v>
      </c>
      <c r="S243" s="160">
        <f t="shared" si="148"/>
        <v>1.5588636396405247</v>
      </c>
      <c r="T243" s="160" t="str">
        <f t="shared" si="140"/>
        <v>1+0.055866295306083i</v>
      </c>
      <c r="U243" s="160">
        <f t="shared" si="149"/>
        <v>1.0015593057583891</v>
      </c>
      <c r="V243" s="160">
        <f t="shared" si="150"/>
        <v>5.5808283532678991E-2</v>
      </c>
      <c r="W243" s="98" t="str">
        <f t="shared" si="141"/>
        <v>1-0.00791439183502844i</v>
      </c>
      <c r="X243" s="160">
        <f t="shared" si="151"/>
        <v>1.0000313183086409</v>
      </c>
      <c r="Y243" s="160">
        <f t="shared" si="152"/>
        <v>-7.9142265950734991E-3</v>
      </c>
      <c r="Z243" s="98" t="str">
        <f t="shared" si="142"/>
        <v>0.999977512692194+0.0166258094830903i</v>
      </c>
      <c r="AA243" s="160">
        <f t="shared" si="153"/>
        <v>1.0001157150205346</v>
      </c>
      <c r="AB243" s="160">
        <f t="shared" si="154"/>
        <v>1.662465162342933E-2</v>
      </c>
      <c r="AC243" s="171" t="str">
        <f t="shared" si="155"/>
        <v>0.0449010915171088-1.03868008931128i</v>
      </c>
      <c r="AD243" s="190">
        <f t="shared" si="156"/>
        <v>0.33774441750208573</v>
      </c>
      <c r="AE243" s="169">
        <f t="shared" si="157"/>
        <v>-87.524702435418277</v>
      </c>
      <c r="AF243" s="98" t="str">
        <f t="shared" si="143"/>
        <v>-0.0000673063927557778</v>
      </c>
      <c r="AG243" s="98" t="str">
        <f t="shared" si="144"/>
        <v>0.000112492372228328i</v>
      </c>
      <c r="AH243" s="98">
        <f t="shared" si="158"/>
        <v>1.12492372228328E-4</v>
      </c>
      <c r="AI243" s="98">
        <f t="shared" si="159"/>
        <v>1.5707963267948966</v>
      </c>
      <c r="AJ243" s="98" t="str">
        <f t="shared" si="145"/>
        <v>1+0.113197499428297i</v>
      </c>
      <c r="AK243" s="98">
        <f t="shared" si="160"/>
        <v>1.0063864436074341</v>
      </c>
      <c r="AL243" s="98">
        <f t="shared" si="161"/>
        <v>0.11271769097961801</v>
      </c>
      <c r="AM243" s="98" t="str">
        <f t="shared" si="146"/>
        <v>1+16.7598885918249i</v>
      </c>
      <c r="AN243" s="98">
        <f t="shared" si="162"/>
        <v>16.789695220890177</v>
      </c>
      <c r="AO243" s="98">
        <f t="shared" si="163"/>
        <v>1.5112007134305965</v>
      </c>
      <c r="AP243" s="168" t="str">
        <f t="shared" si="164"/>
        <v>-9.83403171733397+1.71150741393349i</v>
      </c>
      <c r="AQ243" s="98">
        <f t="shared" si="165"/>
        <v>19.984225494786919</v>
      </c>
      <c r="AR243" s="169">
        <f t="shared" si="166"/>
        <v>170.12717490714024</v>
      </c>
      <c r="AS243" s="168" t="str">
        <f t="shared" si="167"/>
        <v>1.33614991543919+10.2912614934756i</v>
      </c>
      <c r="AT243" s="190">
        <f t="shared" si="168"/>
        <v>20.321969912288967</v>
      </c>
      <c r="AU243" s="169">
        <f t="shared" si="169"/>
        <v>82.602472471721967</v>
      </c>
      <c r="AV243" s="225"/>
      <c r="AX243">
        <f t="shared" si="170"/>
        <v>0</v>
      </c>
      <c r="AY243">
        <f t="shared" si="171"/>
        <v>0</v>
      </c>
    </row>
    <row r="244" spans="14:51" x14ac:dyDescent="0.25">
      <c r="N244" s="170">
        <v>26</v>
      </c>
      <c r="O244" s="199">
        <f t="shared" si="172"/>
        <v>1819.7008586099832</v>
      </c>
      <c r="P244" s="189" t="str">
        <f t="shared" si="138"/>
        <v>87</v>
      </c>
      <c r="Q244" s="160" t="str">
        <f t="shared" si="139"/>
        <v>1+85.7513827371025i</v>
      </c>
      <c r="R244" s="160">
        <f t="shared" si="147"/>
        <v>85.757213348645138</v>
      </c>
      <c r="S244" s="160">
        <f t="shared" si="148"/>
        <v>1.5591352358520163</v>
      </c>
      <c r="T244" s="160" t="str">
        <f t="shared" si="140"/>
        <v>1+0.0571675884914015i</v>
      </c>
      <c r="U244" s="160">
        <f t="shared" si="149"/>
        <v>1.0016327336773305</v>
      </c>
      <c r="V244" s="160">
        <f t="shared" si="150"/>
        <v>5.7105433227489455E-2</v>
      </c>
      <c r="W244" s="98" t="str">
        <f t="shared" si="141"/>
        <v>1-0.00809874170294856i</v>
      </c>
      <c r="X244" s="160">
        <f t="shared" si="151"/>
        <v>1.0000327942708533</v>
      </c>
      <c r="Y244" s="160">
        <f t="shared" si="152"/>
        <v>-8.0985646454604324E-3</v>
      </c>
      <c r="Z244" s="98" t="str">
        <f t="shared" si="142"/>
        <v>0.999976452898028+0.0170130743350411i</v>
      </c>
      <c r="AA244" s="160">
        <f t="shared" si="153"/>
        <v>1.0001211681835613</v>
      </c>
      <c r="AB244" s="160">
        <f t="shared" si="154"/>
        <v>1.7011833674094728E-2</v>
      </c>
      <c r="AC244" s="171" t="str">
        <f t="shared" si="155"/>
        <v>0.0443430904272476-1.01509044719655i</v>
      </c>
      <c r="AD244" s="190">
        <f t="shared" si="156"/>
        <v>0.13837447847357168</v>
      </c>
      <c r="AE244" s="169">
        <f t="shared" si="157"/>
        <v>-87.49868823885636</v>
      </c>
      <c r="AF244" s="98" t="str">
        <f t="shared" si="143"/>
        <v>-0.0000673063927557778</v>
      </c>
      <c r="AG244" s="98" t="str">
        <f t="shared" si="144"/>
        <v>0.000115112656186286i</v>
      </c>
      <c r="AH244" s="98">
        <f t="shared" si="158"/>
        <v>1.15112656186286E-4</v>
      </c>
      <c r="AI244" s="98">
        <f t="shared" si="159"/>
        <v>1.5707963267948966</v>
      </c>
      <c r="AJ244" s="98" t="str">
        <f t="shared" si="145"/>
        <v>1+0.11583420790868i</v>
      </c>
      <c r="AK244" s="98">
        <f t="shared" si="160"/>
        <v>1.0066864277032006</v>
      </c>
      <c r="AL244" s="98">
        <f t="shared" si="161"/>
        <v>0.11532026814371052</v>
      </c>
      <c r="AM244" s="98" t="str">
        <f t="shared" si="146"/>
        <v>1+17.1502765474204i</v>
      </c>
      <c r="AN244" s="98">
        <f t="shared" si="162"/>
        <v>17.17940585855629</v>
      </c>
      <c r="AO244" s="98">
        <f t="shared" si="163"/>
        <v>1.5125541739451249</v>
      </c>
      <c r="AP244" s="168" t="str">
        <f t="shared" si="164"/>
        <v>-9.82817167296301+1.72313867798434i</v>
      </c>
      <c r="AQ244" s="98">
        <f t="shared" si="165"/>
        <v>19.980943333322639</v>
      </c>
      <c r="AR244" s="169">
        <f t="shared" si="166"/>
        <v>170.0556057950007</v>
      </c>
      <c r="AS244" s="168" t="str">
        <f t="shared" si="167"/>
        <v>1.31333010598808+10.052892472849i</v>
      </c>
      <c r="AT244" s="190">
        <f t="shared" si="168"/>
        <v>20.119317811796179</v>
      </c>
      <c r="AU244" s="169">
        <f t="shared" si="169"/>
        <v>82.556917556144342</v>
      </c>
      <c r="AV244" s="225"/>
      <c r="AX244">
        <f t="shared" si="170"/>
        <v>0</v>
      </c>
      <c r="AY244">
        <f t="shared" si="171"/>
        <v>0</v>
      </c>
    </row>
    <row r="245" spans="14:51" x14ac:dyDescent="0.25">
      <c r="N245" s="170">
        <v>27</v>
      </c>
      <c r="O245" s="199">
        <f t="shared" si="172"/>
        <v>1862.0871366628687</v>
      </c>
      <c r="P245" s="189" t="str">
        <f t="shared" si="138"/>
        <v>87</v>
      </c>
      <c r="Q245" s="160" t="str">
        <f t="shared" si="139"/>
        <v>1+87.7487890332617i</v>
      </c>
      <c r="R245" s="160">
        <f t="shared" si="147"/>
        <v>87.754486932600045</v>
      </c>
      <c r="S245" s="160">
        <f t="shared" si="148"/>
        <v>1.5594006514413907</v>
      </c>
      <c r="T245" s="160" t="str">
        <f t="shared" si="140"/>
        <v>1+0.058499192688841i</v>
      </c>
      <c r="U245" s="160">
        <f t="shared" si="149"/>
        <v>1.0017096163785422</v>
      </c>
      <c r="V245" s="160">
        <f t="shared" si="150"/>
        <v>5.8432598261132195E-2</v>
      </c>
      <c r="W245" s="98" t="str">
        <f t="shared" si="141"/>
        <v>1-0.00828738563091916i</v>
      </c>
      <c r="X245" s="160">
        <f t="shared" si="151"/>
        <v>1.0000343397906872</v>
      </c>
      <c r="Y245" s="160">
        <f t="shared" si="152"/>
        <v>-8.2871959107543476E-3</v>
      </c>
      <c r="Z245" s="98" t="str">
        <f t="shared" si="142"/>
        <v>0.999975343157301+0.0174093597441991i</v>
      </c>
      <c r="AA245" s="160">
        <f t="shared" si="153"/>
        <v>1.0001268783155788</v>
      </c>
      <c r="AB245" s="160">
        <f t="shared" si="154"/>
        <v>1.7408030361056981E-2</v>
      </c>
      <c r="AC245" s="171" t="str">
        <f t="shared" si="155"/>
        <v>0.0438101262100839-0.99203843332969i</v>
      </c>
      <c r="AD245" s="190">
        <f t="shared" si="156"/>
        <v>-6.096843029783483E-2</v>
      </c>
      <c r="AE245" s="169">
        <f t="shared" si="157"/>
        <v>-87.471362650204981</v>
      </c>
      <c r="AF245" s="98" t="str">
        <f t="shared" si="143"/>
        <v>-0.0000673063927557778</v>
      </c>
      <c r="AG245" s="98" t="str">
        <f t="shared" si="144"/>
        <v>0.000117793974398251i</v>
      </c>
      <c r="AH245" s="98">
        <f t="shared" si="158"/>
        <v>1.17793974398251E-4</v>
      </c>
      <c r="AI245" s="98">
        <f t="shared" si="159"/>
        <v>1.5707963267948966</v>
      </c>
      <c r="AJ245" s="98" t="str">
        <f t="shared" si="145"/>
        <v>1+0.118532333219344i</v>
      </c>
      <c r="AK245" s="98">
        <f t="shared" si="160"/>
        <v>1.0070004538322819</v>
      </c>
      <c r="AL245" s="98">
        <f t="shared" si="161"/>
        <v>0.11798184339174847</v>
      </c>
      <c r="AM245" s="98" t="str">
        <f t="shared" si="146"/>
        <v>1+17.5497578066523i</v>
      </c>
      <c r="AN245" s="98">
        <f t="shared" si="162"/>
        <v>17.578225139989339</v>
      </c>
      <c r="AO245" s="98">
        <f t="shared" si="163"/>
        <v>1.5138770323907995</v>
      </c>
      <c r="AP245" s="168" t="str">
        <f t="shared" si="164"/>
        <v>-9.82204293394685+1.73562046160475i</v>
      </c>
      <c r="AQ245" s="98">
        <f t="shared" si="165"/>
        <v>19.977571929828045</v>
      </c>
      <c r="AR245" s="169">
        <f t="shared" si="166"/>
        <v>169.97890297226203</v>
      </c>
      <c r="AS245" s="168" t="str">
        <f t="shared" si="167"/>
        <v>1.29149726300826+9.81988183576529i</v>
      </c>
      <c r="AT245" s="190">
        <f t="shared" si="168"/>
        <v>19.916603499530208</v>
      </c>
      <c r="AU245" s="169">
        <f t="shared" si="169"/>
        <v>82.507540322057011</v>
      </c>
      <c r="AV245" s="225"/>
      <c r="AX245">
        <f t="shared" si="170"/>
        <v>0</v>
      </c>
      <c r="AY245">
        <f t="shared" si="171"/>
        <v>0</v>
      </c>
    </row>
    <row r="246" spans="14:51" x14ac:dyDescent="0.25">
      <c r="N246" s="170">
        <v>28</v>
      </c>
      <c r="O246" s="199">
        <f t="shared" si="172"/>
        <v>1905.4607179632501</v>
      </c>
      <c r="P246" s="189" t="str">
        <f t="shared" si="138"/>
        <v>87</v>
      </c>
      <c r="Q246" s="160" t="str">
        <f t="shared" si="139"/>
        <v>1+89.7927208988597i</v>
      </c>
      <c r="R246" s="160">
        <f t="shared" si="147"/>
        <v>89.798289106310449</v>
      </c>
      <c r="S246" s="160">
        <f t="shared" si="148"/>
        <v>1.5596600269858427</v>
      </c>
      <c r="T246" s="160" t="str">
        <f t="shared" si="140"/>
        <v>1+0.059861813932573i</v>
      </c>
      <c r="U246" s="160">
        <f t="shared" si="149"/>
        <v>1.0017901161257772</v>
      </c>
      <c r="V246" s="160">
        <f t="shared" si="150"/>
        <v>5.9790463602498553E-2</v>
      </c>
      <c r="W246" s="98" t="str">
        <f t="shared" si="141"/>
        <v>1-0.00848042364044786i</v>
      </c>
      <c r="X246" s="160">
        <f t="shared" si="151"/>
        <v>1.0000359581460665</v>
      </c>
      <c r="Y246" s="160">
        <f t="shared" si="152"/>
        <v>-8.4802203520234539E-3</v>
      </c>
      <c r="Z246" s="98" t="str">
        <f t="shared" si="142"/>
        <v>0.999974181116105+0.0178148758263337i</v>
      </c>
      <c r="AA246" s="160">
        <f t="shared" si="153"/>
        <v>1.0001328575242054</v>
      </c>
      <c r="AB246" s="160">
        <f t="shared" si="154"/>
        <v>1.7813451376745636E-2</v>
      </c>
      <c r="AC246" s="171" t="str">
        <f t="shared" si="155"/>
        <v>0.0433010692802957-0.969511864184799i</v>
      </c>
      <c r="AD246" s="190">
        <f t="shared" si="156"/>
        <v>-0.26028292910725842</v>
      </c>
      <c r="AE246" s="169">
        <f t="shared" si="157"/>
        <v>-87.442712219956064</v>
      </c>
      <c r="AF246" s="98" t="str">
        <f t="shared" si="143"/>
        <v>-0.0000673063927557778</v>
      </c>
      <c r="AG246" s="98" t="str">
        <f t="shared" si="144"/>
        <v>0.000120537748534629i</v>
      </c>
      <c r="AH246" s="98">
        <f t="shared" si="158"/>
        <v>1.20537748534629E-4</v>
      </c>
      <c r="AI246" s="98">
        <f t="shared" si="159"/>
        <v>1.5707963267948966</v>
      </c>
      <c r="AJ246" s="98" t="str">
        <f t="shared" si="145"/>
        <v>1+0.121293305942043i</v>
      </c>
      <c r="AK246" s="98">
        <f t="shared" si="160"/>
        <v>1.0073291746327762</v>
      </c>
      <c r="AL246" s="98">
        <f t="shared" si="161"/>
        <v>0.12070367700842409</v>
      </c>
      <c r="AM246" s="98" t="str">
        <f t="shared" si="146"/>
        <v>1+17.9585441797719i</v>
      </c>
      <c r="AN246" s="98">
        <f t="shared" si="162"/>
        <v>17.986364531411542</v>
      </c>
      <c r="AO246" s="98">
        <f t="shared" si="163"/>
        <v>1.5151699716346643</v>
      </c>
      <c r="AP246" s="168" t="str">
        <f t="shared" si="164"/>
        <v>-9.81563354347933+1.74895499563811i</v>
      </c>
      <c r="AQ246" s="98">
        <f t="shared" si="165"/>
        <v>19.974104378635428</v>
      </c>
      <c r="AR246" s="169">
        <f t="shared" si="166"/>
        <v>169.89703335532994</v>
      </c>
      <c r="AS246" s="168" t="str">
        <f t="shared" si="167"/>
        <v>1.27060519010023+9.59210479632773i</v>
      </c>
      <c r="AT246" s="190">
        <f t="shared" si="168"/>
        <v>19.713821449528162</v>
      </c>
      <c r="AU246" s="169">
        <f t="shared" si="169"/>
        <v>82.45432113537386</v>
      </c>
      <c r="AV246" s="225"/>
      <c r="AX246">
        <f t="shared" si="170"/>
        <v>0</v>
      </c>
      <c r="AY246">
        <f t="shared" si="171"/>
        <v>0</v>
      </c>
    </row>
    <row r="247" spans="14:51" x14ac:dyDescent="0.25">
      <c r="N247" s="170">
        <v>29</v>
      </c>
      <c r="O247" s="199">
        <f t="shared" si="172"/>
        <v>1949.8445997580463</v>
      </c>
      <c r="P247" s="189" t="str">
        <f t="shared" si="138"/>
        <v>87</v>
      </c>
      <c r="Q247" s="160" t="str">
        <f t="shared" si="139"/>
        <v>1+91.8842620536242i</v>
      </c>
      <c r="R247" s="160">
        <f t="shared" si="147"/>
        <v>91.889703520792168</v>
      </c>
      <c r="S247" s="160">
        <f t="shared" si="148"/>
        <v>1.5599134998700412</v>
      </c>
      <c r="T247" s="160" t="str">
        <f t="shared" si="140"/>
        <v>1+0.061256174702416i</v>
      </c>
      <c r="U247" s="160">
        <f t="shared" si="149"/>
        <v>1.0018744027767017</v>
      </c>
      <c r="V247" s="160">
        <f t="shared" si="150"/>
        <v>6.1179729169404423E-2</v>
      </c>
      <c r="W247" s="98" t="str">
        <f t="shared" si="141"/>
        <v>1-0.00867795808284228i</v>
      </c>
      <c r="X247" s="160">
        <f t="shared" si="151"/>
        <v>1.0000376527693784</v>
      </c>
      <c r="Y247" s="160">
        <f t="shared" si="152"/>
        <v>-8.6777402558139479E-3</v>
      </c>
      <c r="Z247" s="98" t="str">
        <f t="shared" si="142"/>
        <v>0.999972964309595+0.018229837591439i</v>
      </c>
      <c r="AA247" s="160">
        <f t="shared" si="153"/>
        <v>1.0001391184873878</v>
      </c>
      <c r="AB247" s="160">
        <f t="shared" si="154"/>
        <v>1.8228311277552565E-2</v>
      </c>
      <c r="AC247" s="171" t="str">
        <f t="shared" si="155"/>
        <v>0.0428148406841331-0.947498832223494i</v>
      </c>
      <c r="AD247" s="190">
        <f t="shared" si="156"/>
        <v>-0.45956757933558878</v>
      </c>
      <c r="AE247" s="169">
        <f t="shared" si="157"/>
        <v>-87.412722871097557</v>
      </c>
      <c r="AF247" s="98" t="str">
        <f t="shared" si="143"/>
        <v>-0.0000673063927557778</v>
      </c>
      <c r="AG247" s="98" t="str">
        <f t="shared" si="144"/>
        <v>0.000123345433380785i</v>
      </c>
      <c r="AH247" s="98">
        <f t="shared" si="158"/>
        <v>1.23345433380785E-4</v>
      </c>
      <c r="AI247" s="98">
        <f t="shared" si="159"/>
        <v>1.5707963267948966</v>
      </c>
      <c r="AJ247" s="98" t="str">
        <f t="shared" si="145"/>
        <v>1+0.124118589981057i</v>
      </c>
      <c r="AK247" s="98">
        <f t="shared" si="160"/>
        <v>1.0076732726329927</v>
      </c>
      <c r="AL247" s="98">
        <f t="shared" si="161"/>
        <v>0.12348705074426683</v>
      </c>
      <c r="AM247" s="98" t="str">
        <f t="shared" si="146"/>
        <v>1+18.3768524107248i</v>
      </c>
      <c r="AN247" s="98">
        <f t="shared" si="162"/>
        <v>18.404040440228389</v>
      </c>
      <c r="AO247" s="98">
        <f t="shared" si="163"/>
        <v>1.5164336599092618</v>
      </c>
      <c r="AP247" s="168" t="str">
        <f t="shared" si="164"/>
        <v>-9.80893104716918+1.76314466437555i</v>
      </c>
      <c r="AQ247" s="98">
        <f t="shared" si="165"/>
        <v>19.970533590825063</v>
      </c>
      <c r="AR247" s="169">
        <f t="shared" si="166"/>
        <v>169.80996179221316</v>
      </c>
      <c r="AS247" s="168" t="str">
        <f t="shared" si="167"/>
        <v>1.25060969047072+9.36943947046189i</v>
      </c>
      <c r="AT247" s="190">
        <f t="shared" si="168"/>
        <v>19.510966011489472</v>
      </c>
      <c r="AU247" s="169">
        <f t="shared" si="169"/>
        <v>82.397238921115644</v>
      </c>
      <c r="AV247" s="225"/>
      <c r="AX247">
        <f t="shared" si="170"/>
        <v>0</v>
      </c>
      <c r="AY247">
        <f t="shared" si="171"/>
        <v>0</v>
      </c>
    </row>
    <row r="248" spans="14:51" x14ac:dyDescent="0.25">
      <c r="N248" s="170">
        <v>30</v>
      </c>
      <c r="O248" s="199">
        <f t="shared" si="172"/>
        <v>1995.2623149688804</v>
      </c>
      <c r="P248" s="189" t="str">
        <f t="shared" si="138"/>
        <v>87</v>
      </c>
      <c r="Q248" s="160" t="str">
        <f t="shared" si="139"/>
        <v>1+94.0245214603622i</v>
      </c>
      <c r="R248" s="160">
        <f t="shared" si="147"/>
        <v>94.029839071701659</v>
      </c>
      <c r="S248" s="160">
        <f t="shared" si="148"/>
        <v>1.5601612043583077</v>
      </c>
      <c r="T248" s="160" t="str">
        <f t="shared" si="140"/>
        <v>1+0.062683014306908i</v>
      </c>
      <c r="U248" s="160">
        <f t="shared" si="149"/>
        <v>1.0019626541356719</v>
      </c>
      <c r="V248" s="160">
        <f t="shared" si="150"/>
        <v>6.2601110105813304E-2</v>
      </c>
      <c r="W248" s="98" t="str">
        <f t="shared" si="141"/>
        <v>1-0.00888009369347865i</v>
      </c>
      <c r="X248" s="160">
        <f t="shared" si="151"/>
        <v>1.0000394272547484</v>
      </c>
      <c r="Y248" s="160">
        <f t="shared" si="152"/>
        <v>-8.8798602881095864E-3</v>
      </c>
      <c r="Z248" s="98" t="str">
        <f t="shared" si="142"/>
        <v>0.999971690156761+0.0186544650577358i</v>
      </c>
      <c r="AA248" s="160">
        <f t="shared" si="153"/>
        <v>1.0001456744802526</v>
      </c>
      <c r="AB248" s="160">
        <f t="shared" si="154"/>
        <v>1.86528295956714E-2</v>
      </c>
      <c r="AC248" s="171" t="str">
        <f t="shared" si="155"/>
        <v>0.0423504098178047-0.925987699754641i</v>
      </c>
      <c r="AD248" s="190">
        <f t="shared" si="156"/>
        <v>-0.65882088052773491</v>
      </c>
      <c r="AE248" s="169">
        <f t="shared" si="157"/>
        <v>-87.381379896864885</v>
      </c>
      <c r="AF248" s="98" t="str">
        <f t="shared" si="143"/>
        <v>-0.0000673063927557778</v>
      </c>
      <c r="AG248" s="98" t="str">
        <f t="shared" si="144"/>
        <v>0.00012621851760839i</v>
      </c>
      <c r="AH248" s="98">
        <f t="shared" si="158"/>
        <v>1.2621851760839E-4</v>
      </c>
      <c r="AI248" s="98">
        <f t="shared" si="159"/>
        <v>1.5707963267948966</v>
      </c>
      <c r="AJ248" s="98" t="str">
        <f t="shared" si="145"/>
        <v>1+0.127009683339384i</v>
      </c>
      <c r="AK248" s="98">
        <f t="shared" si="160"/>
        <v>1.0080334615785185</v>
      </c>
      <c r="AL248" s="98">
        <f t="shared" si="161"/>
        <v>0.12633326778231843</v>
      </c>
      <c r="AM248" s="98" t="str">
        <f t="shared" si="146"/>
        <v>1+18.8049042920724i</v>
      </c>
      <c r="AN248" s="98">
        <f t="shared" si="162"/>
        <v>18.831474329802301</v>
      </c>
      <c r="AO248" s="98">
        <f t="shared" si="163"/>
        <v>1.5176687510857456</v>
      </c>
      <c r="AP248" s="168" t="str">
        <f t="shared" si="164"/>
        <v>-9.80192247562873+1.77819198723553i</v>
      </c>
      <c r="AQ248" s="98">
        <f t="shared" si="165"/>
        <v>19.966852281347101</v>
      </c>
      <c r="AR248" s="169">
        <f t="shared" si="166"/>
        <v>169.71765108008103</v>
      </c>
      <c r="AS248" s="168" t="str">
        <f t="shared" si="167"/>
        <v>1.23146847413713+9.15176680577492i</v>
      </c>
      <c r="AT248" s="190">
        <f t="shared" si="168"/>
        <v>19.308031400819367</v>
      </c>
      <c r="AU248" s="169">
        <f t="shared" si="169"/>
        <v>82.336271183216169</v>
      </c>
      <c r="AV248" s="225"/>
      <c r="AX248">
        <f t="shared" si="170"/>
        <v>0</v>
      </c>
      <c r="AY248">
        <f t="shared" si="171"/>
        <v>0</v>
      </c>
    </row>
    <row r="249" spans="14:51" x14ac:dyDescent="0.25">
      <c r="N249" s="170">
        <v>31</v>
      </c>
      <c r="O249" s="199">
        <f t="shared" si="172"/>
        <v>2041.7379446695318</v>
      </c>
      <c r="P249" s="189" t="str">
        <f t="shared" si="138"/>
        <v>87</v>
      </c>
      <c r="Q249" s="160" t="str">
        <f t="shared" si="139"/>
        <v>1+96.2146339129397i</v>
      </c>
      <c r="R249" s="160">
        <f t="shared" si="147"/>
        <v>96.219830487280575</v>
      </c>
      <c r="S249" s="160">
        <f t="shared" si="148"/>
        <v>1.5604032716651828</v>
      </c>
      <c r="T249" s="160" t="str">
        <f t="shared" si="140"/>
        <v>1+0.064143089275293i</v>
      </c>
      <c r="U249" s="160">
        <f t="shared" si="149"/>
        <v>1.0020550563226445</v>
      </c>
      <c r="V249" s="160">
        <f t="shared" si="150"/>
        <v>6.4055337060547765E-2</v>
      </c>
      <c r="W249" s="98" t="str">
        <f t="shared" si="141"/>
        <v>1-0.00908693764733319i</v>
      </c>
      <c r="X249" s="160">
        <f t="shared" si="151"/>
        <v>1.0000412853656626</v>
      </c>
      <c r="Y249" s="160">
        <f t="shared" si="152"/>
        <v>-9.0866875495319299E-3</v>
      </c>
      <c r="Z249" s="98" t="str">
        <f t="shared" si="142"/>
        <v>0.999970355954953+0.0190889833683272i</v>
      </c>
      <c r="AA249" s="160">
        <f t="shared" si="153"/>
        <v>1.0001525394032211</v>
      </c>
      <c r="AB249" s="160">
        <f t="shared" si="154"/>
        <v>1.9087230953436115E-2</v>
      </c>
      <c r="AC249" s="171" t="str">
        <f t="shared" si="155"/>
        <v>0.0419067922478117-0.904967092925658i</v>
      </c>
      <c r="AD249" s="190">
        <f t="shared" si="156"/>
        <v>-0.85804126735110275</v>
      </c>
      <c r="AE249" s="169">
        <f t="shared" si="157"/>
        <v>-87.348667958528893</v>
      </c>
      <c r="AF249" s="98" t="str">
        <f t="shared" si="143"/>
        <v>-0.0000673063927557778</v>
      </c>
      <c r="AG249" s="98" t="str">
        <f t="shared" si="144"/>
        <v>0.00012915852456473i</v>
      </c>
      <c r="AH249" s="98">
        <f t="shared" si="158"/>
        <v>1.2915852456472999E-4</v>
      </c>
      <c r="AI249" s="98">
        <f t="shared" si="159"/>
        <v>1.5707963267948966</v>
      </c>
      <c r="AJ249" s="98" t="str">
        <f t="shared" si="145"/>
        <v>1+0.129968118912989i</v>
      </c>
      <c r="AK249" s="98">
        <f t="shared" si="160"/>
        <v>1.0084104878142535</v>
      </c>
      <c r="AL249" s="98">
        <f t="shared" si="161"/>
        <v>0.12924365266950441</v>
      </c>
      <c r="AM249" s="98" t="str">
        <f t="shared" si="146"/>
        <v>1+19.2429267825879i</v>
      </c>
      <c r="AN249" s="98">
        <f t="shared" si="162"/>
        <v>19.268892836902662</v>
      </c>
      <c r="AO249" s="98">
        <f t="shared" si="163"/>
        <v>1.5188758849447002</v>
      </c>
      <c r="AP249" s="168" t="str">
        <f t="shared" si="164"/>
        <v>-9.79459432677788+1.79409959932043i</v>
      </c>
      <c r="AQ249" s="98">
        <f t="shared" si="165"/>
        <v>19.963052955906125</v>
      </c>
      <c r="AR249" s="169">
        <f t="shared" si="166"/>
        <v>169.62006198471201</v>
      </c>
      <c r="AS249" s="168" t="str">
        <f t="shared" si="167"/>
        <v>1.21314106921222+8.93897051347092i</v>
      </c>
      <c r="AT249" s="190">
        <f t="shared" si="168"/>
        <v>19.105011688555017</v>
      </c>
      <c r="AU249" s="169">
        <f t="shared" si="169"/>
        <v>82.271394026183117</v>
      </c>
      <c r="AV249" s="225"/>
      <c r="AX249">
        <f t="shared" si="170"/>
        <v>0</v>
      </c>
      <c r="AY249">
        <f t="shared" si="171"/>
        <v>0</v>
      </c>
    </row>
    <row r="250" spans="14:51" x14ac:dyDescent="0.25">
      <c r="N250" s="170">
        <v>32</v>
      </c>
      <c r="O250" s="199">
        <f t="shared" si="172"/>
        <v>2089.2961308540398</v>
      </c>
      <c r="P250" s="189" t="str">
        <f t="shared" si="138"/>
        <v>87</v>
      </c>
      <c r="Q250" s="160" t="str">
        <f t="shared" si="139"/>
        <v>1+98.45576063797i</v>
      </c>
      <c r="R250" s="160">
        <f t="shared" si="147"/>
        <v>98.460838930009345</v>
      </c>
      <c r="S250" s="160">
        <f t="shared" si="148"/>
        <v>1.5606398300244171</v>
      </c>
      <c r="T250" s="160" t="str">
        <f t="shared" si="140"/>
        <v>1+0.0656371737586465i</v>
      </c>
      <c r="U250" s="160">
        <f t="shared" si="149"/>
        <v>1.0021518041589421</v>
      </c>
      <c r="V250" s="160">
        <f t="shared" si="150"/>
        <v>6.5543156467200464E-2</v>
      </c>
      <c r="W250" s="98" t="str">
        <f t="shared" si="141"/>
        <v>1-0.00929859961580827i</v>
      </c>
      <c r="X250" s="160">
        <f t="shared" si="151"/>
        <v>1.0000432310429459</v>
      </c>
      <c r="Y250" s="160">
        <f t="shared" si="152"/>
        <v>-9.2983316318116984E-3</v>
      </c>
      <c r="Z250" s="98" t="str">
        <f t="shared" si="142"/>
        <v>0.999968958874152+0.0195336229105732i</v>
      </c>
      <c r="AA250" s="160">
        <f t="shared" si="153"/>
        <v>1.0001597278114474</v>
      </c>
      <c r="AB250" s="160">
        <f t="shared" si="154"/>
        <v>1.953174518021308E-2</v>
      </c>
      <c r="AC250" s="171" t="str">
        <f t="shared" si="155"/>
        <v>0.041483047628657-0.884425895842752i</v>
      </c>
      <c r="AD250" s="190">
        <f t="shared" si="156"/>
        <v>-1.0572271064309589</v>
      </c>
      <c r="AE250" s="169">
        <f t="shared" si="157"/>
        <v>-87.31457108324409</v>
      </c>
      <c r="AF250" s="98" t="str">
        <f t="shared" si="143"/>
        <v>-0.0000673063927557778</v>
      </c>
      <c r="AG250" s="98" t="str">
        <f t="shared" si="144"/>
        <v>0.00013216701308041i</v>
      </c>
      <c r="AH250" s="98">
        <f t="shared" si="158"/>
        <v>1.3216701308041E-4</v>
      </c>
      <c r="AI250" s="98">
        <f t="shared" si="159"/>
        <v>1.5707963267948966</v>
      </c>
      <c r="AJ250" s="98" t="str">
        <f t="shared" si="145"/>
        <v>1+0.132995465303575i</v>
      </c>
      <c r="AK250" s="98">
        <f t="shared" si="160"/>
        <v>1.0088051317233246</v>
      </c>
      <c r="AL250" s="98">
        <f t="shared" si="161"/>
        <v>0.13221955120987608</v>
      </c>
      <c r="AM250" s="98" t="str">
        <f t="shared" si="146"/>
        <v>1+19.6911521275939i</v>
      </c>
      <c r="AN250" s="98">
        <f t="shared" si="162"/>
        <v>19.716527891899371</v>
      </c>
      <c r="AO250" s="98">
        <f t="shared" si="163"/>
        <v>1.5200556874444799</v>
      </c>
      <c r="AP250" s="168" t="str">
        <f t="shared" si="164"/>
        <v>-9.78693254789741+1.81087023077836i</v>
      </c>
      <c r="AQ250" s="98">
        <f t="shared" si="165"/>
        <v>19.959127897600155</v>
      </c>
      <c r="AR250" s="169">
        <f t="shared" si="166"/>
        <v>169.51715326198598</v>
      </c>
      <c r="AS250" s="168" t="str">
        <f t="shared" si="167"/>
        <v>1.19558873708824+8.73093700225945i</v>
      </c>
      <c r="AT250" s="190">
        <f t="shared" si="168"/>
        <v>18.901900791169194</v>
      </c>
      <c r="AU250" s="169">
        <f t="shared" si="169"/>
        <v>82.202582178741906</v>
      </c>
      <c r="AV250" s="225"/>
      <c r="AX250">
        <f t="shared" si="170"/>
        <v>0</v>
      </c>
      <c r="AY250">
        <f t="shared" si="171"/>
        <v>0</v>
      </c>
    </row>
    <row r="251" spans="14:51" x14ac:dyDescent="0.25">
      <c r="N251" s="170">
        <v>33</v>
      </c>
      <c r="O251" s="199">
        <f t="shared" si="172"/>
        <v>2137.9620895022344</v>
      </c>
      <c r="P251" s="189" t="str">
        <f t="shared" si="138"/>
        <v>87</v>
      </c>
      <c r="Q251" s="160" t="str">
        <f t="shared" si="139"/>
        <v>1+100.749089910506i</v>
      </c>
      <c r="R251" s="160">
        <f t="shared" si="147"/>
        <v>100.75405261226577</v>
      </c>
      <c r="S251" s="160">
        <f t="shared" si="148"/>
        <v>1.5608710047564205</v>
      </c>
      <c r="T251" s="160" t="str">
        <f t="shared" si="140"/>
        <v>1+0.067166059940337i</v>
      </c>
      <c r="U251" s="160">
        <f t="shared" si="149"/>
        <v>1.0022531015706106</v>
      </c>
      <c r="V251" s="160">
        <f t="shared" si="150"/>
        <v>6.7065330824893743E-2</v>
      </c>
      <c r="W251" s="98" t="str">
        <f t="shared" si="141"/>
        <v>1-0.00951519182488109i</v>
      </c>
      <c r="X251" s="160">
        <f t="shared" si="151"/>
        <v>1.0000452684131176</v>
      </c>
      <c r="Y251" s="160">
        <f t="shared" si="152"/>
        <v>-9.5149046755572831E-3</v>
      </c>
      <c r="Z251" s="98" t="str">
        <f t="shared" si="142"/>
        <v>0.999967495950961+0.0199886194382443i</v>
      </c>
      <c r="AA251" s="160">
        <f t="shared" si="153"/>
        <v>1.0001672549456326</v>
      </c>
      <c r="AB251" s="160">
        <f t="shared" si="154"/>
        <v>1.9986607431895023E-2</v>
      </c>
      <c r="AC251" s="171" t="str">
        <f t="shared" si="155"/>
        <v>0.0410782777135657-0.864353244817913i</v>
      </c>
      <c r="AD251" s="190">
        <f t="shared" si="156"/>
        <v>-1.2563766930552096</v>
      </c>
      <c r="AE251" s="169">
        <f t="shared" si="157"/>
        <v>-87.279072661983236</v>
      </c>
      <c r="AF251" s="98" t="str">
        <f t="shared" si="143"/>
        <v>-0.0000673063927557778</v>
      </c>
      <c r="AG251" s="98" t="str">
        <f t="shared" si="144"/>
        <v>0.000135245578295863i</v>
      </c>
      <c r="AH251" s="98">
        <f t="shared" si="158"/>
        <v>1.35245578295863E-4</v>
      </c>
      <c r="AI251" s="98">
        <f t="shared" si="159"/>
        <v>1.5707963267948966</v>
      </c>
      <c r="AJ251" s="98" t="str">
        <f t="shared" si="145"/>
        <v>1+0.136093327650266i</v>
      </c>
      <c r="AK251" s="98">
        <f t="shared" si="160"/>
        <v>1.0092182092248052</v>
      </c>
      <c r="AL251" s="98">
        <f t="shared" si="161"/>
        <v>0.13526233031664864</v>
      </c>
      <c r="AM251" s="98" t="str">
        <f t="shared" si="146"/>
        <v>1+20.1498179821011i</v>
      </c>
      <c r="AN251" s="98">
        <f t="shared" si="162"/>
        <v>20.174616841759473</v>
      </c>
      <c r="AO251" s="98">
        <f t="shared" si="163"/>
        <v>1.5212087709868731</v>
      </c>
      <c r="AP251" s="168" t="str">
        <f t="shared" si="164"/>
        <v>-9.77892251746599+1.82850668489497i</v>
      </c>
      <c r="AQ251" s="98">
        <f t="shared" si="165"/>
        <v>19.955069153302631</v>
      </c>
      <c r="AR251" s="169">
        <f t="shared" si="166"/>
        <v>169.40888168158241</v>
      </c>
      <c r="AS251" s="168" t="str">
        <f t="shared" si="167"/>
        <v>1.1787743913483+8.52755531419791i</v>
      </c>
      <c r="AT251" s="190">
        <f t="shared" si="168"/>
        <v>18.698692460247422</v>
      </c>
      <c r="AU251" s="169">
        <f t="shared" si="169"/>
        <v>82.129809019599222</v>
      </c>
      <c r="AV251" s="225"/>
      <c r="AX251">
        <f t="shared" si="170"/>
        <v>0</v>
      </c>
      <c r="AY251">
        <f t="shared" si="171"/>
        <v>0</v>
      </c>
    </row>
    <row r="252" spans="14:51" x14ac:dyDescent="0.25">
      <c r="N252" s="170">
        <v>34</v>
      </c>
      <c r="O252" s="199">
        <f t="shared" si="172"/>
        <v>2187.7616239495528</v>
      </c>
      <c r="P252" s="189" t="str">
        <f t="shared" si="138"/>
        <v>87</v>
      </c>
      <c r="Q252" s="160" t="str">
        <f t="shared" si="139"/>
        <v>1+103.095837684084i</v>
      </c>
      <c r="R252" s="160">
        <f t="shared" si="147"/>
        <v>103.10068742633578</v>
      </c>
      <c r="S252" s="160">
        <f t="shared" si="148"/>
        <v>1.5610969183342045</v>
      </c>
      <c r="T252" s="160" t="str">
        <f t="shared" si="140"/>
        <v>1+0.068730558456056i</v>
      </c>
      <c r="U252" s="160">
        <f t="shared" si="149"/>
        <v>1.0023591620101457</v>
      </c>
      <c r="V252" s="160">
        <f t="shared" si="150"/>
        <v>6.8622638979534786E-2</v>
      </c>
      <c r="W252" s="98" t="str">
        <f t="shared" si="141"/>
        <v>1-0.00973682911460795i</v>
      </c>
      <c r="X252" s="160">
        <f t="shared" si="151"/>
        <v>1.0000474017971384</v>
      </c>
      <c r="Y252" s="160">
        <f t="shared" si="152"/>
        <v>-9.7365214293516772E-3</v>
      </c>
      <c r="Z252" s="98" t="str">
        <f t="shared" si="142"/>
        <v>0.999965964082324+0.0204542141965223i</v>
      </c>
      <c r="AA252" s="160">
        <f t="shared" si="153"/>
        <v>1.0001751367643013</v>
      </c>
      <c r="AB252" s="160">
        <f t="shared" si="154"/>
        <v>2.0452058313052062E-2</v>
      </c>
      <c r="AC252" s="171" t="str">
        <f t="shared" si="155"/>
        <v>0.0406916244540392-0.844738522740068i</v>
      </c>
      <c r="AD252" s="190">
        <f t="shared" si="156"/>
        <v>-1.4554882477450861</v>
      </c>
      <c r="AE252" s="169">
        <f t="shared" si="157"/>
        <v>-87.242155447585461</v>
      </c>
      <c r="AF252" s="98" t="str">
        <f t="shared" si="143"/>
        <v>-0.0000673063927557778</v>
      </c>
      <c r="AG252" s="98" t="str">
        <f t="shared" si="144"/>
        <v>0.000138395852507114i</v>
      </c>
      <c r="AH252" s="98">
        <f t="shared" si="158"/>
        <v>1.3839585250711401E-4</v>
      </c>
      <c r="AI252" s="98">
        <f t="shared" si="159"/>
        <v>1.5707963267948966</v>
      </c>
      <c r="AJ252" s="98" t="str">
        <f t="shared" si="145"/>
        <v>1+0.139263348480686i</v>
      </c>
      <c r="AK252" s="98">
        <f t="shared" si="160"/>
        <v>1.0096505733322063</v>
      </c>
      <c r="AL252" s="98">
        <f t="shared" si="161"/>
        <v>0.13837337781987119</v>
      </c>
      <c r="AM252" s="98" t="str">
        <f t="shared" si="146"/>
        <v>1+20.6191675368168i</v>
      </c>
      <c r="AN252" s="98">
        <f t="shared" si="162"/>
        <v>20.643402575915626</v>
      </c>
      <c r="AO252" s="98">
        <f t="shared" si="163"/>
        <v>1.5223357346799378</v>
      </c>
      <c r="AP252" s="168" t="str">
        <f t="shared" si="164"/>
        <v>-9.77054902682635+1.84701181483844i</v>
      </c>
      <c r="AQ252" s="98">
        <f t="shared" si="165"/>
        <v>19.9508685197818</v>
      </c>
      <c r="AR252" s="169">
        <f t="shared" si="166"/>
        <v>169.29520205306011</v>
      </c>
      <c r="AS252" s="168" t="str">
        <f t="shared" si="167"/>
        <v>1.16266252024068+8.32871706241228i</v>
      </c>
      <c r="AT252" s="190">
        <f t="shared" si="168"/>
        <v>18.495380272036716</v>
      </c>
      <c r="AU252" s="169">
        <f t="shared" si="169"/>
        <v>82.053046605474677</v>
      </c>
      <c r="AV252" s="225"/>
      <c r="AX252">
        <f t="shared" si="170"/>
        <v>0</v>
      </c>
      <c r="AY252">
        <f t="shared" si="171"/>
        <v>0</v>
      </c>
    </row>
    <row r="253" spans="14:51" x14ac:dyDescent="0.25">
      <c r="N253" s="170">
        <v>35</v>
      </c>
      <c r="O253" s="199">
        <f t="shared" si="172"/>
        <v>2238.7211385683418</v>
      </c>
      <c r="P253" s="189" t="str">
        <f t="shared" si="138"/>
        <v>87</v>
      </c>
      <c r="Q253" s="160" t="str">
        <f t="shared" si="139"/>
        <v>1+105.497248235438i</v>
      </c>
      <c r="R253" s="160">
        <f t="shared" si="147"/>
        <v>105.50198758909534</v>
      </c>
      <c r="S253" s="160">
        <f t="shared" si="148"/>
        <v>1.5613176904478456</v>
      </c>
      <c r="T253" s="160" t="str">
        <f t="shared" si="140"/>
        <v>1+0.070331498823625i</v>
      </c>
      <c r="U253" s="160">
        <f t="shared" si="149"/>
        <v>1.0024702088973905</v>
      </c>
      <c r="V253" s="160">
        <f t="shared" si="150"/>
        <v>7.021587640515084E-2</v>
      </c>
      <c r="W253" s="98" t="str">
        <f t="shared" si="141"/>
        <v>1-0.00996362900001356i</v>
      </c>
      <c r="X253" s="160">
        <f t="shared" si="151"/>
        <v>1.0000496357195725</v>
      </c>
      <c r="Y253" s="160">
        <f t="shared" si="152"/>
        <v>-9.9632993102053008E-3</v>
      </c>
      <c r="Z253" s="98" t="str">
        <f t="shared" si="142"/>
        <v>0.999964360018942+0.0209306540499108i</v>
      </c>
      <c r="AA253" s="160">
        <f t="shared" si="153"/>
        <v>1.0001833899775827</v>
      </c>
      <c r="AB253" s="160">
        <f t="shared" si="154"/>
        <v>2.0928344001789119E-2</v>
      </c>
      <c r="AC253" s="171" t="str">
        <f t="shared" si="155"/>
        <v>0.0403222681842531-0.825571353568209i</v>
      </c>
      <c r="AD253" s="190">
        <f t="shared" si="156"/>
        <v>-1.6545599126843085</v>
      </c>
      <c r="AE253" s="169">
        <f t="shared" si="157"/>
        <v>-87.203801552948136</v>
      </c>
      <c r="AF253" s="98" t="str">
        <f t="shared" si="143"/>
        <v>-0.0000673063927557778</v>
      </c>
      <c r="AG253" s="98" t="str">
        <f t="shared" si="144"/>
        <v>0.000141619506031251i</v>
      </c>
      <c r="AH253" s="98">
        <f t="shared" si="158"/>
        <v>1.41619506031251E-4</v>
      </c>
      <c r="AI253" s="98">
        <f t="shared" si="159"/>
        <v>1.5707963267948966</v>
      </c>
      <c r="AJ253" s="98" t="str">
        <f t="shared" si="145"/>
        <v>1+0.142507208581838i</v>
      </c>
      <c r="AK253" s="98">
        <f t="shared" si="160"/>
        <v>1.0101031157747151</v>
      </c>
      <c r="AL253" s="98">
        <f t="shared" si="161"/>
        <v>0.14155410222629924</v>
      </c>
      <c r="AM253" s="98" t="str">
        <f t="shared" si="146"/>
        <v>1+21.0994496470875i</v>
      </c>
      <c r="AN253" s="98">
        <f t="shared" si="162"/>
        <v>21.12313365507071</v>
      </c>
      <c r="AO253" s="98">
        <f t="shared" si="163"/>
        <v>1.5234371645978595</v>
      </c>
      <c r="AP253" s="168" t="str">
        <f t="shared" si="164"/>
        <v>-9.76179626172562+1.86638849897753i</v>
      </c>
      <c r="AQ253" s="98">
        <f t="shared" si="165"/>
        <v>19.946517529547286</v>
      </c>
      <c r="AR253" s="169">
        <f t="shared" si="166"/>
        <v>169.17606725450392</v>
      </c>
      <c r="AS253" s="168" t="str">
        <f t="shared" si="167"/>
        <v>1.14721911255968+8.13431637064168i</v>
      </c>
      <c r="AT253" s="190">
        <f t="shared" si="168"/>
        <v>18.29195761686298</v>
      </c>
      <c r="AU253" s="169">
        <f t="shared" si="169"/>
        <v>81.972265701555784</v>
      </c>
      <c r="AV253" s="225"/>
      <c r="AX253">
        <f t="shared" si="170"/>
        <v>0</v>
      </c>
      <c r="AY253">
        <f t="shared" si="171"/>
        <v>0</v>
      </c>
    </row>
    <row r="254" spans="14:51" x14ac:dyDescent="0.25">
      <c r="N254" s="170">
        <v>36</v>
      </c>
      <c r="O254" s="199">
        <f t="shared" si="172"/>
        <v>2290.8676527677749</v>
      </c>
      <c r="P254" s="189" t="str">
        <f t="shared" si="138"/>
        <v>87</v>
      </c>
      <c r="Q254" s="160" t="str">
        <f t="shared" si="139"/>
        <v>1+107.954594824227i</v>
      </c>
      <c r="R254" s="160">
        <f t="shared" si="147"/>
        <v>107.95922630170624</v>
      </c>
      <c r="S254" s="160">
        <f t="shared" si="148"/>
        <v>1.5615334380675074</v>
      </c>
      <c r="T254" s="160" t="str">
        <f t="shared" si="140"/>
        <v>1+0.0719697298828175i</v>
      </c>
      <c r="U254" s="160">
        <f t="shared" si="149"/>
        <v>1.0025864760804455</v>
      </c>
      <c r="V254" s="160">
        <f t="shared" si="150"/>
        <v>7.1845855484875945E-2</v>
      </c>
      <c r="W254" s="98" t="str">
        <f t="shared" si="141"/>
        <v>1-0.0101957117333992i</v>
      </c>
      <c r="X254" s="160">
        <f t="shared" si="151"/>
        <v>1.0000519749181793</v>
      </c>
      <c r="Y254" s="160">
        <f t="shared" si="152"/>
        <v>-1.0195358465396515E-2</v>
      </c>
      <c r="Z254" s="98" t="str">
        <f t="shared" si="142"/>
        <v>0.999962680358382+0.0214181916131265i</v>
      </c>
      <c r="AA254" s="160">
        <f t="shared" si="153"/>
        <v>1.0001920320825879</v>
      </c>
      <c r="AB254" s="160">
        <f t="shared" si="154"/>
        <v>2.141571637736607E-2</v>
      </c>
      <c r="AC254" s="171" t="str">
        <f t="shared" si="155"/>
        <v>0.0399694258864918-0.806841596944127i</v>
      </c>
      <c r="AD254" s="190">
        <f t="shared" si="156"/>
        <v>-1.8535897480010763</v>
      </c>
      <c r="AE254" s="169">
        <f t="shared" si="157"/>
        <v>-87.163992449393533</v>
      </c>
      <c r="AF254" s="98" t="str">
        <f t="shared" si="143"/>
        <v>-0.0000673063927557778</v>
      </c>
      <c r="AG254" s="98" t="str">
        <f t="shared" si="144"/>
        <v>0.000144918248092041i</v>
      </c>
      <c r="AH254" s="98">
        <f t="shared" si="158"/>
        <v>1.4491824809204101E-4</v>
      </c>
      <c r="AI254" s="98">
        <f t="shared" si="159"/>
        <v>1.5707963267948966</v>
      </c>
      <c r="AJ254" s="98" t="str">
        <f t="shared" si="145"/>
        <v>1+0.145826627891287i</v>
      </c>
      <c r="AK254" s="98">
        <f t="shared" si="160"/>
        <v>1.0105767686831832</v>
      </c>
      <c r="AL254" s="98">
        <f t="shared" si="161"/>
        <v>0.14480593242794562</v>
      </c>
      <c r="AM254" s="98" t="str">
        <f t="shared" si="146"/>
        <v>1+21.5909189648452i</v>
      </c>
      <c r="AN254" s="98">
        <f t="shared" si="162"/>
        <v>21.614064443008221</v>
      </c>
      <c r="AO254" s="98">
        <f t="shared" si="163"/>
        <v>1.5245136340377046</v>
      </c>
      <c r="AP254" s="168" t="str">
        <f t="shared" si="164"/>
        <v>-9.75264778378752+1.88663961469171i</v>
      </c>
      <c r="AQ254" s="98">
        <f t="shared" si="165"/>
        <v>19.942007436420553</v>
      </c>
      <c r="AR254" s="169">
        <f t="shared" si="166"/>
        <v>169.05142826393433</v>
      </c>
      <c r="AS254" s="168" t="str">
        <f t="shared" si="167"/>
        <v>1.13241158678476+7.94424981455866i</v>
      </c>
      <c r="AT254" s="190">
        <f t="shared" si="168"/>
        <v>18.088417688419472</v>
      </c>
      <c r="AU254" s="169">
        <f t="shared" si="169"/>
        <v>81.887435814540794</v>
      </c>
      <c r="AV254" s="225"/>
      <c r="AX254">
        <f t="shared" si="170"/>
        <v>0</v>
      </c>
      <c r="AY254">
        <f t="shared" si="171"/>
        <v>0</v>
      </c>
    </row>
    <row r="255" spans="14:51" x14ac:dyDescent="0.25">
      <c r="N255" s="170">
        <v>37</v>
      </c>
      <c r="O255" s="199">
        <f t="shared" si="172"/>
        <v>2344.2288153199238</v>
      </c>
      <c r="P255" s="189" t="str">
        <f t="shared" si="138"/>
        <v>87</v>
      </c>
      <c r="Q255" s="160" t="str">
        <f t="shared" si="139"/>
        <v>1+110.469180368139i</v>
      </c>
      <c r="R255" s="160">
        <f t="shared" si="147"/>
        <v>110.47370642468927</v>
      </c>
      <c r="S255" s="160">
        <f t="shared" si="148"/>
        <v>1.5617442755050479</v>
      </c>
      <c r="T255" s="160" t="str">
        <f t="shared" si="140"/>
        <v>1+0.073646120245426i</v>
      </c>
      <c r="U255" s="160">
        <f t="shared" si="149"/>
        <v>1.0027082083174566</v>
      </c>
      <c r="V255" s="160">
        <f t="shared" si="150"/>
        <v>7.3513405791109029E-2</v>
      </c>
      <c r="W255" s="98" t="str">
        <f t="shared" si="141"/>
        <v>1-0.010433200368102i</v>
      </c>
      <c r="X255" s="160">
        <f t="shared" si="151"/>
        <v>1.0000544243539553</v>
      </c>
      <c r="Y255" s="160">
        <f t="shared" si="152"/>
        <v>-1.0432821835729793E-2</v>
      </c>
      <c r="Z255" s="98" t="str">
        <f t="shared" si="142"/>
        <v>0.999960921537859+0.0219170853850388i</v>
      </c>
      <c r="AA255" s="160">
        <f t="shared" si="153"/>
        <v>1.0002010814004447</v>
      </c>
      <c r="AB255" s="160">
        <f t="shared" si="154"/>
        <v>2.1914433150632764E-2</v>
      </c>
      <c r="AC255" s="171" t="str">
        <f t="shared" si="155"/>
        <v>0.0396323495339633-0.788539342922305i</v>
      </c>
      <c r="AD255" s="190">
        <f t="shared" si="156"/>
        <v>-2.0525757278982542</v>
      </c>
      <c r="AE255" s="169">
        <f t="shared" si="157"/>
        <v>-87.122708965244669</v>
      </c>
      <c r="AF255" s="98" t="str">
        <f t="shared" si="143"/>
        <v>-0.0000673063927557778</v>
      </c>
      <c r="AG255" s="98" t="str">
        <f t="shared" si="144"/>
        <v>0.000148293827726189i</v>
      </c>
      <c r="AH255" s="98">
        <f t="shared" si="158"/>
        <v>1.4829382772618899E-4</v>
      </c>
      <c r="AI255" s="98">
        <f t="shared" si="159"/>
        <v>1.5707963267948966</v>
      </c>
      <c r="AJ255" s="98" t="str">
        <f t="shared" si="145"/>
        <v>1+0.149223366409087i</v>
      </c>
      <c r="AK255" s="98">
        <f t="shared" si="160"/>
        <v>1.0110725063428738</v>
      </c>
      <c r="AL255" s="98">
        <f t="shared" si="161"/>
        <v>0.14813031735552526</v>
      </c>
      <c r="AM255" s="98" t="str">
        <f t="shared" si="146"/>
        <v>1+22.0938360736278i</v>
      </c>
      <c r="AN255" s="98">
        <f t="shared" si="162"/>
        <v>22.116455241478842</v>
      </c>
      <c r="AO255" s="98">
        <f t="shared" si="163"/>
        <v>1.525565703772958</v>
      </c>
      <c r="AP255" s="168" t="str">
        <f t="shared" si="164"/>
        <v>-9.74308651197652+1.90776801058916i</v>
      </c>
      <c r="AQ255" s="98">
        <f t="shared" si="165"/>
        <v>19.937329200823001</v>
      </c>
      <c r="AR255" s="169">
        <f t="shared" si="166"/>
        <v>168.92123419369062</v>
      </c>
      <c r="AS255" s="168" t="str">
        <f t="shared" si="167"/>
        <v>1.11820872333587+7.75841636481452i</v>
      </c>
      <c r="AT255" s="190">
        <f t="shared" si="168"/>
        <v>17.884753472924746</v>
      </c>
      <c r="AU255" s="169">
        <f t="shared" si="169"/>
        <v>81.798525228445968</v>
      </c>
      <c r="AV255" s="225"/>
      <c r="AX255">
        <f t="shared" si="170"/>
        <v>0</v>
      </c>
      <c r="AY255">
        <f t="shared" si="171"/>
        <v>0</v>
      </c>
    </row>
    <row r="256" spans="14:51" x14ac:dyDescent="0.25">
      <c r="N256" s="170">
        <v>38</v>
      </c>
      <c r="O256" s="199">
        <f t="shared" si="172"/>
        <v>2398.8329190194918</v>
      </c>
      <c r="P256" s="189" t="str">
        <f t="shared" si="138"/>
        <v>87</v>
      </c>
      <c r="Q256" s="160" t="str">
        <f t="shared" si="139"/>
        <v>1+113.042338133715i</v>
      </c>
      <c r="R256" s="160">
        <f t="shared" si="147"/>
        <v>113.04676116871796</v>
      </c>
      <c r="S256" s="160">
        <f t="shared" si="148"/>
        <v>1.5619503144742466</v>
      </c>
      <c r="T256" s="160" t="str">
        <f t="shared" si="140"/>
        <v>1+0.07536155875581i</v>
      </c>
      <c r="U256" s="160">
        <f t="shared" si="149"/>
        <v>1.002835661780187</v>
      </c>
      <c r="V256" s="160">
        <f t="shared" si="150"/>
        <v>7.5219374364321606E-2</v>
      </c>
      <c r="W256" s="98" t="str">
        <f t="shared" si="141"/>
        <v>1-0.0106762208237398i</v>
      </c>
      <c r="X256" s="160">
        <f t="shared" si="151"/>
        <v>1.0000569892216531</v>
      </c>
      <c r="Y256" s="160">
        <f t="shared" si="152"/>
        <v>-1.0675815220243662E-2</v>
      </c>
      <c r="Z256" s="98" t="str">
        <f t="shared" si="142"/>
        <v>0.999959079826678+0.0224275998857291i</v>
      </c>
      <c r="AA256" s="160">
        <f t="shared" si="153"/>
        <v>1.0002105571150761</v>
      </c>
      <c r="AB256" s="160">
        <f t="shared" si="154"/>
        <v>2.2424757997333546E-2</v>
      </c>
      <c r="AC256" s="171" t="str">
        <f t="shared" si="155"/>
        <v>0.0393103245075196-0.770654906814857i</v>
      </c>
      <c r="AD256" s="190">
        <f t="shared" si="156"/>
        <v>-2.2515157366237357</v>
      </c>
      <c r="AE256" s="169">
        <f t="shared" si="157"/>
        <v>-87.079931284646804</v>
      </c>
      <c r="AF256" s="98" t="str">
        <f t="shared" si="143"/>
        <v>-0.0000673063927557778</v>
      </c>
      <c r="AG256" s="98" t="str">
        <f t="shared" si="144"/>
        <v>0.000151748034710699i</v>
      </c>
      <c r="AH256" s="98">
        <f t="shared" si="158"/>
        <v>1.5174803471069899E-4</v>
      </c>
      <c r="AI256" s="98">
        <f t="shared" si="159"/>
        <v>1.5707963267948966</v>
      </c>
      <c r="AJ256" s="98" t="str">
        <f t="shared" si="145"/>
        <v>1+0.152699225130962i</v>
      </c>
      <c r="AK256" s="98">
        <f t="shared" si="160"/>
        <v>1.0115913470149871</v>
      </c>
      <c r="AL256" s="98">
        <f t="shared" si="161"/>
        <v>0.15152872557287556</v>
      </c>
      <c r="AM256" s="98" t="str">
        <f t="shared" si="146"/>
        <v>1+22.608467626743i</v>
      </c>
      <c r="AN256" s="98">
        <f t="shared" si="162"/>
        <v>22.630572428232703</v>
      </c>
      <c r="AO256" s="98">
        <f t="shared" si="163"/>
        <v>1.5265939223037455</v>
      </c>
      <c r="AP256" s="168" t="str">
        <f t="shared" si="164"/>
        <v>-9.73309470412294+1.92977647704778i</v>
      </c>
      <c r="AQ256" s="98">
        <f t="shared" si="165"/>
        <v>19.932473474778355</v>
      </c>
      <c r="AR256" s="169">
        <f t="shared" si="166"/>
        <v>168.78543232800507</v>
      </c>
      <c r="AS256" s="168" t="str">
        <f t="shared" si="167"/>
        <v>1.10458059981127+7.57671733176577i</v>
      </c>
      <c r="AT256" s="190">
        <f t="shared" si="168"/>
        <v>17.680957738154618</v>
      </c>
      <c r="AU256" s="169">
        <f t="shared" si="169"/>
        <v>81.70550104335824</v>
      </c>
      <c r="AV256" s="225"/>
      <c r="AX256">
        <f t="shared" si="170"/>
        <v>0</v>
      </c>
      <c r="AY256">
        <f t="shared" si="171"/>
        <v>0</v>
      </c>
    </row>
    <row r="257" spans="14:51" x14ac:dyDescent="0.25">
      <c r="N257" s="170">
        <v>39</v>
      </c>
      <c r="O257" s="199">
        <f t="shared" si="172"/>
        <v>2454.7089156850338</v>
      </c>
      <c r="P257" s="189" t="str">
        <f t="shared" si="138"/>
        <v>87</v>
      </c>
      <c r="Q257" s="160" t="str">
        <f t="shared" si="139"/>
        <v>1+115.675432443262i</v>
      </c>
      <c r="R257" s="160">
        <f t="shared" si="147"/>
        <v>115.67975480150217</v>
      </c>
      <c r="S257" s="160">
        <f t="shared" si="148"/>
        <v>1.5621516641496778</v>
      </c>
      <c r="T257" s="160" t="str">
        <f t="shared" si="140"/>
        <v>1+0.0771169549621745i</v>
      </c>
      <c r="U257" s="160">
        <f t="shared" si="149"/>
        <v>1.0029691045803146</v>
      </c>
      <c r="V257" s="160">
        <f t="shared" si="150"/>
        <v>7.6964625989956834E-2</v>
      </c>
      <c r="W257" s="98" t="str">
        <f t="shared" si="141"/>
        <v>1-0.0109249019529747i</v>
      </c>
      <c r="X257" s="160">
        <f t="shared" si="151"/>
        <v>1.0000596749607906</v>
      </c>
      <c r="Y257" s="160">
        <f t="shared" si="152"/>
        <v>-1.0924467342398964E-2</v>
      </c>
      <c r="Z257" s="98" t="str">
        <f t="shared" si="142"/>
        <v>0.999957151318324+0.0229500057967431i</v>
      </c>
      <c r="AA257" s="160">
        <f t="shared" si="153"/>
        <v>1.0002204793138001</v>
      </c>
      <c r="AB257" s="160">
        <f t="shared" si="154"/>
        <v>2.2946960694336691E-2</v>
      </c>
      <c r="AC257" s="171" t="str">
        <f t="shared" si="155"/>
        <v>0.0390026680829539-0.753178824149195i</v>
      </c>
      <c r="AD257" s="190">
        <f t="shared" si="156"/>
        <v>-2.4504075642751975</v>
      </c>
      <c r="AE257" s="169">
        <f t="shared" si="157"/>
        <v>-87.035638946673188</v>
      </c>
      <c r="AF257" s="98" t="str">
        <f t="shared" si="143"/>
        <v>-0.0000673063927557778</v>
      </c>
      <c r="AG257" s="98" t="str">
        <f t="shared" si="144"/>
        <v>0.000155282700511835i</v>
      </c>
      <c r="AH257" s="98">
        <f t="shared" si="158"/>
        <v>1.55282700511835E-4</v>
      </c>
      <c r="AI257" s="98">
        <f t="shared" si="159"/>
        <v>1.5707963267948966</v>
      </c>
      <c r="AJ257" s="98" t="str">
        <f t="shared" si="145"/>
        <v>1+0.156256047003214i</v>
      </c>
      <c r="AK257" s="98">
        <f t="shared" si="160"/>
        <v>1.0121343548289776</v>
      </c>
      <c r="AL257" s="98">
        <f t="shared" si="161"/>
        <v>0.15500264480819256</v>
      </c>
      <c r="AM257" s="98" t="str">
        <f t="shared" si="146"/>
        <v>1+23.1350864886523i</v>
      </c>
      <c r="AN257" s="98">
        <f t="shared" si="162"/>
        <v>23.156688598273764</v>
      </c>
      <c r="AO257" s="98">
        <f t="shared" si="163"/>
        <v>1.5275988261036564</v>
      </c>
      <c r="AP257" s="168" t="str">
        <f t="shared" si="164"/>
        <v>-9.72265393858859+1.95266771499246i</v>
      </c>
      <c r="AQ257" s="98">
        <f t="shared" si="165"/>
        <v>19.927430586629555</v>
      </c>
      <c r="AR257" s="169">
        <f t="shared" si="166"/>
        <v>168.6439681640037</v>
      </c>
      <c r="AS257" s="168" t="str">
        <f t="shared" si="167"/>
        <v>1.09149852907992+7.39905631183984i</v>
      </c>
      <c r="AT257" s="190">
        <f t="shared" si="168"/>
        <v>17.477023022354352</v>
      </c>
      <c r="AU257" s="169">
        <f t="shared" si="169"/>
        <v>81.608329217330535</v>
      </c>
      <c r="AV257" s="225"/>
      <c r="AX257">
        <f t="shared" si="170"/>
        <v>0</v>
      </c>
      <c r="AY257">
        <f t="shared" si="171"/>
        <v>0</v>
      </c>
    </row>
    <row r="258" spans="14:51" x14ac:dyDescent="0.25">
      <c r="N258" s="170">
        <v>40</v>
      </c>
      <c r="O258" s="199">
        <f t="shared" si="172"/>
        <v>2511.8864315095811</v>
      </c>
      <c r="P258" s="189" t="str">
        <f t="shared" si="138"/>
        <v>87</v>
      </c>
      <c r="Q258" s="160" t="str">
        <f t="shared" si="139"/>
        <v>1+118.369859398236i</v>
      </c>
      <c r="R258" s="160">
        <f t="shared" si="147"/>
        <v>118.37408337114235</v>
      </c>
      <c r="S258" s="160">
        <f t="shared" si="148"/>
        <v>1.5623484312242624</v>
      </c>
      <c r="T258" s="160" t="str">
        <f t="shared" si="140"/>
        <v>1+0.078913239598824i</v>
      </c>
      <c r="U258" s="160">
        <f t="shared" si="149"/>
        <v>1.0031088173194278</v>
      </c>
      <c r="V258" s="160">
        <f t="shared" si="150"/>
        <v>7.8750043472804065E-2</v>
      </c>
      <c r="W258" s="98" t="str">
        <f t="shared" si="141"/>
        <v>1-0.0111793756098334i</v>
      </c>
      <c r="X258" s="160">
        <f t="shared" si="151"/>
        <v>1.0000624872671837</v>
      </c>
      <c r="Y258" s="160">
        <f t="shared" si="152"/>
        <v>-1.1178909917782781E-2</v>
      </c>
      <c r="Z258" s="98" t="str">
        <f t="shared" si="142"/>
        <v>0.99995513192217+0.02348458010461i</v>
      </c>
      <c r="AA258" s="160">
        <f t="shared" si="153"/>
        <v>1.0002308690298327</v>
      </c>
      <c r="AB258" s="160">
        <f t="shared" si="154"/>
        <v>2.3481317258843878E-2</v>
      </c>
      <c r="AC258" s="171" t="str">
        <f t="shared" si="155"/>
        <v>0.0387087279856819-0.736101845736101i</v>
      </c>
      <c r="AD258" s="190">
        <f t="shared" si="156"/>
        <v>-2.6492489024337407</v>
      </c>
      <c r="AE258" s="169">
        <f t="shared" si="157"/>
        <v>-86.989810844757315</v>
      </c>
      <c r="AF258" s="98" t="str">
        <f t="shared" si="143"/>
        <v>-0.0000673063927557778</v>
      </c>
      <c r="AG258" s="98" t="str">
        <f t="shared" si="144"/>
        <v>0.000158899699256192i</v>
      </c>
      <c r="AH258" s="98">
        <f t="shared" si="158"/>
        <v>1.5889969925619201E-4</v>
      </c>
      <c r="AI258" s="98">
        <f t="shared" si="159"/>
        <v>1.5707963267948966</v>
      </c>
      <c r="AJ258" s="98" t="str">
        <f t="shared" si="145"/>
        <v>1+0.159895717899882i</v>
      </c>
      <c r="AK258" s="98">
        <f t="shared" si="160"/>
        <v>1.0127026417476743</v>
      </c>
      <c r="AL258" s="98">
        <f t="shared" si="161"/>
        <v>0.15855358141776249</v>
      </c>
      <c r="AM258" s="98" t="str">
        <f t="shared" si="146"/>
        <v>1+23.6739718796472i</v>
      </c>
      <c r="AN258" s="98">
        <f t="shared" si="162"/>
        <v>23.695082708408645</v>
      </c>
      <c r="AO258" s="98">
        <f t="shared" si="163"/>
        <v>1.5285809398630956</v>
      </c>
      <c r="AP258" s="168" t="str">
        <f t="shared" si="164"/>
        <v>-9.71174509615549+1.97644430282084i</v>
      </c>
      <c r="AQ258" s="98">
        <f t="shared" si="165"/>
        <v>19.922190525467343</v>
      </c>
      <c r="AR258" s="169">
        <f t="shared" si="166"/>
        <v>168.49678545637443</v>
      </c>
      <c r="AS258" s="168" t="str">
        <f t="shared" si="167"/>
        <v>1.07893500010766+7.22533913549533i</v>
      </c>
      <c r="AT258" s="190">
        <f t="shared" si="168"/>
        <v>17.27294162303361</v>
      </c>
      <c r="AU258" s="169">
        <f t="shared" si="169"/>
        <v>81.50697461161711</v>
      </c>
      <c r="AV258" s="225"/>
      <c r="AX258">
        <f t="shared" si="170"/>
        <v>0</v>
      </c>
      <c r="AY258">
        <f t="shared" si="171"/>
        <v>0</v>
      </c>
    </row>
    <row r="259" spans="14:51" x14ac:dyDescent="0.25">
      <c r="N259" s="170">
        <v>41</v>
      </c>
      <c r="O259" s="199">
        <f t="shared" si="172"/>
        <v>2570.3957827688669</v>
      </c>
      <c r="P259" s="189" t="str">
        <f t="shared" si="138"/>
        <v>87</v>
      </c>
      <c r="Q259" s="160" t="str">
        <f t="shared" si="139"/>
        <v>1+121.127047619473i</v>
      </c>
      <c r="R259" s="160">
        <f t="shared" si="147"/>
        <v>121.13117544633205</v>
      </c>
      <c r="S259" s="160">
        <f t="shared" si="148"/>
        <v>1.5625407199655268</v>
      </c>
      <c r="T259" s="160" t="str">
        <f t="shared" si="140"/>
        <v>1+0.0807513650796485i</v>
      </c>
      <c r="U259" s="160">
        <f t="shared" si="149"/>
        <v>1.0032550936637334</v>
      </c>
      <c r="V259" s="160">
        <f t="shared" si="150"/>
        <v>8.0576527908187895E-2</v>
      </c>
      <c r="W259" s="98" t="str">
        <f t="shared" si="141"/>
        <v>1-0.0114397767196169i</v>
      </c>
      <c r="X259" s="160">
        <f t="shared" si="151"/>
        <v>1.0000654321050173</v>
      </c>
      <c r="Y259" s="160">
        <f t="shared" si="152"/>
        <v>-1.1439277723357649E-2</v>
      </c>
      <c r="Z259" s="98" t="str">
        <f t="shared" si="142"/>
        <v>0.999953017354808+0.0240316062477034i</v>
      </c>
      <c r="AA259" s="160">
        <f t="shared" si="153"/>
        <v>1.0002417482867978</v>
      </c>
      <c r="AB259" s="160">
        <f t="shared" si="154"/>
        <v>2.4028110090633478E-2</v>
      </c>
      <c r="AC259" s="171" t="str">
        <f t="shared" si="155"/>
        <v>0.0384278810097782-0.719414932846153i</v>
      </c>
      <c r="AD259" s="190">
        <f t="shared" si="156"/>
        <v>-2.8480373396180774</v>
      </c>
      <c r="AE259" s="169">
        <f t="shared" si="157"/>
        <v>-86.942425226495899</v>
      </c>
      <c r="AF259" s="98" t="str">
        <f t="shared" si="143"/>
        <v>-0.0000673063927557778</v>
      </c>
      <c r="AG259" s="98" t="str">
        <f t="shared" si="144"/>
        <v>0.00016260094872438i</v>
      </c>
      <c r="AH259" s="98">
        <f t="shared" si="158"/>
        <v>1.6260094872438E-4</v>
      </c>
      <c r="AI259" s="98">
        <f t="shared" si="159"/>
        <v>1.5707963267948966</v>
      </c>
      <c r="AJ259" s="98" t="str">
        <f t="shared" si="145"/>
        <v>1+0.163620167622649i</v>
      </c>
      <c r="AK259" s="98">
        <f t="shared" si="160"/>
        <v>1.0132973696071967</v>
      </c>
      <c r="AL259" s="98">
        <f t="shared" si="161"/>
        <v>0.16218305977763198</v>
      </c>
      <c r="AM259" s="98" t="str">
        <f t="shared" si="146"/>
        <v>1+24.2254095238945i</v>
      </c>
      <c r="AN259" s="98">
        <f t="shared" si="162"/>
        <v>24.246040225166627</v>
      </c>
      <c r="AO259" s="98">
        <f t="shared" si="163"/>
        <v>1.5295407767290974</v>
      </c>
      <c r="AP259" s="168" t="str">
        <f t="shared" si="164"/>
        <v>-9.70034834223648+2.00110866138929i</v>
      </c>
      <c r="AQ259" s="98">
        <f t="shared" si="165"/>
        <v>19.91674292527545</v>
      </c>
      <c r="AR259" s="169">
        <f t="shared" si="166"/>
        <v>168.3438262659628</v>
      </c>
      <c r="AS259" s="168" t="str">
        <f t="shared" si="167"/>
        <v>1.06686362140237+7.05547381674185i</v>
      </c>
      <c r="AT259" s="190">
        <f t="shared" si="168"/>
        <v>17.068705585657369</v>
      </c>
      <c r="AU259" s="169">
        <f t="shared" si="169"/>
        <v>81.401401039466904</v>
      </c>
      <c r="AV259" s="225"/>
      <c r="AX259">
        <f t="shared" si="170"/>
        <v>0</v>
      </c>
      <c r="AY259">
        <f t="shared" si="171"/>
        <v>0</v>
      </c>
    </row>
    <row r="260" spans="14:51" x14ac:dyDescent="0.25">
      <c r="N260" s="170">
        <v>42</v>
      </c>
      <c r="O260" s="199">
        <f t="shared" si="172"/>
        <v>2630.2679918953822</v>
      </c>
      <c r="P260" s="189" t="str">
        <f t="shared" si="138"/>
        <v>87</v>
      </c>
      <c r="Q260" s="160" t="str">
        <f t="shared" si="139"/>
        <v>1+123.948459004664i</v>
      </c>
      <c r="R260" s="160">
        <f t="shared" si="147"/>
        <v>123.95249287380578</v>
      </c>
      <c r="S260" s="160">
        <f t="shared" si="148"/>
        <v>1.5627286322705951</v>
      </c>
      <c r="T260" s="160" t="str">
        <f t="shared" si="140"/>
        <v>1+0.082632306003109i</v>
      </c>
      <c r="U260" s="160">
        <f t="shared" si="149"/>
        <v>1.0034082409445277</v>
      </c>
      <c r="V260" s="160">
        <f t="shared" si="150"/>
        <v>8.2444998949262271E-2</v>
      </c>
      <c r="W260" s="98" t="str">
        <f t="shared" si="141"/>
        <v>1-0.0117062433504405i</v>
      </c>
      <c r="X260" s="160">
        <f t="shared" si="151"/>
        <v>1.000068515719488</v>
      </c>
      <c r="Y260" s="160">
        <f t="shared" si="152"/>
        <v>-1.1705708668293893E-2</v>
      </c>
      <c r="Z260" s="98" t="str">
        <f t="shared" si="142"/>
        <v>0.999950803130957+0.0245913742665252i</v>
      </c>
      <c r="AA260" s="160">
        <f t="shared" si="153"/>
        <v>1.0002531401453145</v>
      </c>
      <c r="AB260" s="160">
        <f t="shared" si="154"/>
        <v>2.4587628117397689E-2</v>
      </c>
      <c r="AC260" s="171" t="str">
        <f t="shared" si="155"/>
        <v>0.0381595316984519-0.703109252492208i</v>
      </c>
      <c r="AD260" s="190">
        <f t="shared" si="156"/>
        <v>-3.046770356553842</v>
      </c>
      <c r="AE260" s="169">
        <f t="shared" si="157"/>
        <v>-86.893459693870511</v>
      </c>
      <c r="AF260" s="98" t="str">
        <f t="shared" si="143"/>
        <v>-0.0000673063927557778</v>
      </c>
      <c r="AG260" s="98" t="str">
        <f t="shared" si="144"/>
        <v>0.00016638841136786i</v>
      </c>
      <c r="AH260" s="98">
        <f t="shared" si="158"/>
        <v>1.6638841136786E-4</v>
      </c>
      <c r="AI260" s="98">
        <f t="shared" si="159"/>
        <v>1.5707963267948966</v>
      </c>
      <c r="AJ260" s="98" t="str">
        <f t="shared" si="145"/>
        <v>1+0.167431370924059i</v>
      </c>
      <c r="AK260" s="98">
        <f t="shared" si="160"/>
        <v>1.0139197522336321</v>
      </c>
      <c r="AL260" s="98">
        <f t="shared" si="161"/>
        <v>0.16589262159851012</v>
      </c>
      <c r="AM260" s="98" t="str">
        <f t="shared" si="146"/>
        <v>1+24.7896918009327i</v>
      </c>
      <c r="AN260" s="98">
        <f t="shared" si="162"/>
        <v>24.809853276172955</v>
      </c>
      <c r="AO260" s="98">
        <f t="shared" si="163"/>
        <v>1.5304788385415617</v>
      </c>
      <c r="AP260" s="168" t="str">
        <f t="shared" si="164"/>
        <v>-9.68844310951158+2.02666301697113i</v>
      </c>
      <c r="AQ260" s="98">
        <f t="shared" si="165"/>
        <v>19.911077048795399</v>
      </c>
      <c r="AR260" s="169">
        <f t="shared" si="166"/>
        <v>168.18503101256019</v>
      </c>
      <c r="AS260" s="168" t="str">
        <f t="shared" si="167"/>
        <v>1.05525906697012+6.88937050418016i</v>
      </c>
      <c r="AT260" s="190">
        <f t="shared" si="168"/>
        <v>16.864306692241556</v>
      </c>
      <c r="AU260" s="169">
        <f t="shared" si="169"/>
        <v>81.291571318689662</v>
      </c>
      <c r="AV260" s="225"/>
      <c r="AX260">
        <f t="shared" si="170"/>
        <v>0</v>
      </c>
      <c r="AY260">
        <f t="shared" si="171"/>
        <v>0</v>
      </c>
    </row>
    <row r="261" spans="14:51" x14ac:dyDescent="0.25">
      <c r="N261" s="170">
        <v>43</v>
      </c>
      <c r="O261" s="199">
        <f t="shared" si="172"/>
        <v>2691.5348039269184</v>
      </c>
      <c r="P261" s="189" t="str">
        <f t="shared" si="138"/>
        <v>87</v>
      </c>
      <c r="Q261" s="160" t="str">
        <f t="shared" si="139"/>
        <v>1+126.835589503471i</v>
      </c>
      <c r="R261" s="160">
        <f t="shared" si="147"/>
        <v>126.83953155342779</v>
      </c>
      <c r="S261" s="160">
        <f t="shared" si="148"/>
        <v>1.5629122677199454</v>
      </c>
      <c r="T261" s="160" t="str">
        <f t="shared" si="140"/>
        <v>1+0.0845570596689805i</v>
      </c>
      <c r="U261" s="160">
        <f t="shared" si="149"/>
        <v>1.0035685807855204</v>
      </c>
      <c r="V261" s="160">
        <f t="shared" si="150"/>
        <v>8.4356395069626527E-2</v>
      </c>
      <c r="W261" s="98" t="str">
        <f t="shared" si="141"/>
        <v>1-0.0119789167864389i</v>
      </c>
      <c r="X261" s="160">
        <f t="shared" si="151"/>
        <v>1.0000717446500409</v>
      </c>
      <c r="Y261" s="160">
        <f t="shared" si="152"/>
        <v>-1.197834386641645E-2</v>
      </c>
      <c r="Z261" s="98" t="str">
        <f t="shared" si="142"/>
        <v>0.99994848455395+0.0251641809574886i</v>
      </c>
      <c r="AA261" s="160">
        <f t="shared" si="153"/>
        <v>1.0002650687517798</v>
      </c>
      <c r="AB261" s="160">
        <f t="shared" si="154"/>
        <v>2.5160166943225683E-2</v>
      </c>
      <c r="AC261" s="171" t="str">
        <f t="shared" si="155"/>
        <v>0.0379031110831868-0.687176172815868i</v>
      </c>
      <c r="AD261" s="190">
        <f t="shared" si="156"/>
        <v>-3.2454453212502998</v>
      </c>
      <c r="AE261" s="169">
        <f t="shared" si="157"/>
        <v>-86.842891203939175</v>
      </c>
      <c r="AF261" s="98" t="str">
        <f t="shared" si="143"/>
        <v>-0.0000673063927557778</v>
      </c>
      <c r="AG261" s="98" t="str">
        <f t="shared" si="144"/>
        <v>0.000170264095349459i</v>
      </c>
      <c r="AH261" s="98">
        <f t="shared" si="158"/>
        <v>1.7026409534945901E-4</v>
      </c>
      <c r="AI261" s="98">
        <f t="shared" si="159"/>
        <v>1.5707963267948966</v>
      </c>
      <c r="AJ261" s="98" t="str">
        <f t="shared" si="145"/>
        <v>1+0.171331348554549i</v>
      </c>
      <c r="AK261" s="98">
        <f t="shared" si="160"/>
        <v>1.0145710576384093</v>
      </c>
      <c r="AL261" s="98">
        <f t="shared" si="161"/>
        <v>0.16968382515892838</v>
      </c>
      <c r="AM261" s="98" t="str">
        <f t="shared" si="146"/>
        <v>1+25.3671179006941i</v>
      </c>
      <c r="AN261" s="98">
        <f t="shared" si="162"/>
        <v>25.386820805049911</v>
      </c>
      <c r="AO261" s="98">
        <f t="shared" si="163"/>
        <v>1.5313956160658591</v>
      </c>
      <c r="AP261" s="168" t="str">
        <f t="shared" si="164"/>
        <v>-9.67600808110581+2.05310936209857i</v>
      </c>
      <c r="AQ261" s="98">
        <f t="shared" si="165"/>
        <v>19.905181771117093</v>
      </c>
      <c r="AR261" s="169">
        <f t="shared" si="166"/>
        <v>168.02033853216793</v>
      </c>
      <c r="AS261" s="168" t="str">
        <f t="shared" si="167"/>
        <v>1.04409702467936+6.72694143352725i</v>
      </c>
      <c r="AT261" s="190">
        <f t="shared" si="168"/>
        <v>16.659736449866788</v>
      </c>
      <c r="AU261" s="169">
        <f t="shared" si="169"/>
        <v>81.177447328228752</v>
      </c>
      <c r="AV261" s="225"/>
      <c r="AX261">
        <f t="shared" si="170"/>
        <v>0</v>
      </c>
      <c r="AY261">
        <f t="shared" si="171"/>
        <v>0</v>
      </c>
    </row>
    <row r="262" spans="14:51" x14ac:dyDescent="0.25">
      <c r="N262" s="170">
        <v>44</v>
      </c>
      <c r="O262" s="199">
        <f t="shared" si="172"/>
        <v>2754.228703338169</v>
      </c>
      <c r="P262" s="189" t="str">
        <f t="shared" si="138"/>
        <v>87</v>
      </c>
      <c r="Q262" s="160" t="str">
        <f t="shared" si="139"/>
        <v>1+129.789969910701i</v>
      </c>
      <c r="R262" s="160">
        <f t="shared" si="147"/>
        <v>129.7938222313399</v>
      </c>
      <c r="S262" s="160">
        <f t="shared" si="148"/>
        <v>1.5630917236299546</v>
      </c>
      <c r="T262" s="160" t="str">
        <f t="shared" si="140"/>
        <v>1+0.0865266466071335i</v>
      </c>
      <c r="U262" s="160">
        <f t="shared" si="149"/>
        <v>1.0037364497581402</v>
      </c>
      <c r="V262" s="160">
        <f t="shared" si="150"/>
        <v>8.6311673820436516E-2</v>
      </c>
      <c r="W262" s="98" t="str">
        <f t="shared" si="141"/>
        <v>1-0.0122579416026773i</v>
      </c>
      <c r="X262" s="160">
        <f t="shared" si="151"/>
        <v>1.0000751257442286</v>
      </c>
      <c r="Y262" s="160">
        <f t="shared" si="152"/>
        <v>-1.2257327710303526E-2</v>
      </c>
      <c r="Z262" s="98" t="str">
        <f t="shared" si="142"/>
        <v>0.999946056705776+0.0257503300302829i</v>
      </c>
      <c r="AA262" s="160">
        <f t="shared" si="153"/>
        <v>1.0002775593894424</v>
      </c>
      <c r="AB262" s="160">
        <f t="shared" si="154"/>
        <v>2.5746029000290417E-2</v>
      </c>
      <c r="AC262" s="171" t="str">
        <f t="shared" si="155"/>
        <v>0.0376580754788864-0.671607258575753i</v>
      </c>
      <c r="AD262" s="190">
        <f t="shared" si="156"/>
        <v>-3.4440594838781813</v>
      </c>
      <c r="AE262" s="169">
        <f t="shared" si="157"/>
        <v>-86.790696070052078</v>
      </c>
      <c r="AF262" s="98" t="str">
        <f t="shared" si="143"/>
        <v>-0.0000673063927557778</v>
      </c>
      <c r="AG262" s="98" t="str">
        <f t="shared" si="144"/>
        <v>0.000174230055608124i</v>
      </c>
      <c r="AH262" s="98">
        <f t="shared" si="158"/>
        <v>1.74230055608124E-4</v>
      </c>
      <c r="AI262" s="98">
        <f t="shared" si="159"/>
        <v>1.5707963267948966</v>
      </c>
      <c r="AJ262" s="98" t="str">
        <f t="shared" si="145"/>
        <v>1+0.175322168333882i</v>
      </c>
      <c r="AK262" s="98">
        <f t="shared" si="160"/>
        <v>1.0152526102942527</v>
      </c>
      <c r="AL262" s="98">
        <f t="shared" si="161"/>
        <v>0.17355824445155107</v>
      </c>
      <c r="AM262" s="98" t="str">
        <f t="shared" si="146"/>
        <v>1+25.95799398214i</v>
      </c>
      <c r="AN262" s="98">
        <f t="shared" si="162"/>
        <v>25.977248729933208</v>
      </c>
      <c r="AO262" s="98">
        <f t="shared" si="163"/>
        <v>1.5322915892217788</v>
      </c>
      <c r="AP262" s="168" t="str">
        <f t="shared" si="164"/>
        <v>-9.66302117443723+2.08044941420229i</v>
      </c>
      <c r="AQ262" s="98">
        <f t="shared" si="165"/>
        <v>19.89904556300559</v>
      </c>
      <c r="AR262" s="169">
        <f t="shared" si="166"/>
        <v>167.84968613902788</v>
      </c>
      <c r="AS262" s="168" t="str">
        <f t="shared" si="167"/>
        <v>1.0333541469369+6.56810088159328i</v>
      </c>
      <c r="AT262" s="190">
        <f t="shared" si="168"/>
        <v>16.454986079127412</v>
      </c>
      <c r="AU262" s="169">
        <f t="shared" si="169"/>
        <v>81.05899006897576</v>
      </c>
      <c r="AV262" s="225"/>
      <c r="AX262">
        <f t="shared" si="170"/>
        <v>0</v>
      </c>
      <c r="AY262">
        <f t="shared" si="171"/>
        <v>0</v>
      </c>
    </row>
    <row r="263" spans="14:51" x14ac:dyDescent="0.25">
      <c r="N263" s="170">
        <v>45</v>
      </c>
      <c r="O263" s="199">
        <f t="shared" si="172"/>
        <v>2818.3829312644561</v>
      </c>
      <c r="P263" s="189" t="str">
        <f t="shared" si="138"/>
        <v>87</v>
      </c>
      <c r="Q263" s="160" t="str">
        <f t="shared" si="139"/>
        <v>1+132.81316667795i</v>
      </c>
      <c r="R263" s="160">
        <f t="shared" si="147"/>
        <v>132.81693131157985</v>
      </c>
      <c r="S263" s="160">
        <f t="shared" si="148"/>
        <v>1.5632670951042609</v>
      </c>
      <c r="T263" s="160" t="str">
        <f t="shared" si="140"/>
        <v>1+0.088542111118633i</v>
      </c>
      <c r="U263" s="160">
        <f t="shared" si="149"/>
        <v>1.0039122000659939</v>
      </c>
      <c r="V263" s="160">
        <f t="shared" si="150"/>
        <v>8.8311812081110649E-2</v>
      </c>
      <c r="W263" s="98" t="str">
        <f t="shared" si="141"/>
        <v>1-0.0125434657418064i</v>
      </c>
      <c r="X263" s="160">
        <f t="shared" si="151"/>
        <v>1.0000786661722247</v>
      </c>
      <c r="Y263" s="160">
        <f t="shared" si="152"/>
        <v>-1.2542807947071077E-2</v>
      </c>
      <c r="Z263" s="98" t="str">
        <f t="shared" si="142"/>
        <v>0.999943514436642+0.0263501322689052i</v>
      </c>
      <c r="AA263" s="160">
        <f t="shared" si="153"/>
        <v>1.0002906385318677</v>
      </c>
      <c r="AB263" s="160">
        <f t="shared" si="154"/>
        <v>2.6345523703797558E-2</v>
      </c>
      <c r="AC263" s="171" t="str">
        <f t="shared" si="155"/>
        <v>0.0374239053324928-0.656394266735604i</v>
      </c>
      <c r="AD263" s="190">
        <f t="shared" si="156"/>
        <v>-3.6426099714401738</v>
      </c>
      <c r="AE263" s="169">
        <f t="shared" si="157"/>
        <v>-86.736849963650144</v>
      </c>
      <c r="AF263" s="98" t="str">
        <f t="shared" si="143"/>
        <v>-0.0000673063927557778</v>
      </c>
      <c r="AG263" s="98" t="str">
        <f t="shared" si="144"/>
        <v>0.000178288394948479i</v>
      </c>
      <c r="AH263" s="98">
        <f t="shared" si="158"/>
        <v>1.78288394948479E-4</v>
      </c>
      <c r="AI263" s="98">
        <f t="shared" si="159"/>
        <v>1.5707963267948966</v>
      </c>
      <c r="AJ263" s="98" t="str">
        <f t="shared" si="145"/>
        <v>1+0.179405946247528i</v>
      </c>
      <c r="AK263" s="98">
        <f t="shared" si="160"/>
        <v>1.0159657934935462</v>
      </c>
      <c r="AL263" s="98">
        <f t="shared" si="161"/>
        <v>0.17751746823728537</v>
      </c>
      <c r="AM263" s="98" t="str">
        <f t="shared" si="146"/>
        <v>1+26.5626333355899i</v>
      </c>
      <c r="AN263" s="98">
        <f t="shared" si="162"/>
        <v>26.58145010568445</v>
      </c>
      <c r="AO263" s="98">
        <f t="shared" si="163"/>
        <v>1.5331672273087977</v>
      </c>
      <c r="AP263" s="168" t="str">
        <f t="shared" si="164"/>
        <v>-9.64945952587355+2.10868457196326i</v>
      </c>
      <c r="AQ263" s="98">
        <f t="shared" si="165"/>
        <v>19.892656473974945</v>
      </c>
      <c r="AR263" s="169">
        <f t="shared" si="166"/>
        <v>167.67300969272455</v>
      </c>
      <c r="AS263" s="168" t="str">
        <f t="shared" si="167"/>
        <v>1.02300800358449+6.4127651216779i</v>
      </c>
      <c r="AT263" s="190">
        <f t="shared" si="168"/>
        <v>16.250046502534772</v>
      </c>
      <c r="AU263" s="169">
        <f t="shared" si="169"/>
        <v>80.936159729074447</v>
      </c>
      <c r="AV263" s="225"/>
      <c r="AX263">
        <f t="shared" si="170"/>
        <v>0</v>
      </c>
      <c r="AY263">
        <f t="shared" si="171"/>
        <v>0</v>
      </c>
    </row>
    <row r="264" spans="14:51" x14ac:dyDescent="0.25">
      <c r="N264" s="170">
        <v>46</v>
      </c>
      <c r="O264" s="199">
        <f t="shared" si="172"/>
        <v>2884.0315031266077</v>
      </c>
      <c r="P264" s="189" t="str">
        <f t="shared" si="138"/>
        <v>87</v>
      </c>
      <c r="Q264" s="160" t="str">
        <f t="shared" si="139"/>
        <v>1+135.906782744162i</v>
      </c>
      <c r="R264" s="160">
        <f t="shared" si="147"/>
        <v>135.91046168661504</v>
      </c>
      <c r="S264" s="160">
        <f t="shared" si="148"/>
        <v>1.563438475083968</v>
      </c>
      <c r="T264" s="160" t="str">
        <f t="shared" si="140"/>
        <v>1+0.090604521829441i</v>
      </c>
      <c r="U264" s="160">
        <f t="shared" si="149"/>
        <v>1.0040962002596872</v>
      </c>
      <c r="V264" s="160">
        <f t="shared" si="150"/>
        <v>9.0357806302661714E-2</v>
      </c>
      <c r="W264" s="98" t="str">
        <f t="shared" si="141"/>
        <v>1-0.0128356405925042i</v>
      </c>
      <c r="X264" s="160">
        <f t="shared" si="151"/>
        <v>1.0000823734420181</v>
      </c>
      <c r="Y264" s="160">
        <f t="shared" si="152"/>
        <v>-1.2834935755881884E-2</v>
      </c>
      <c r="Z264" s="98" t="str">
        <f t="shared" si="142"/>
        <v>0.999940852354055+0.0269639056964416i</v>
      </c>
      <c r="AA264" s="160">
        <f t="shared" si="153"/>
        <v>1.0003043338989193</v>
      </c>
      <c r="AB264" s="160">
        <f t="shared" si="154"/>
        <v>2.6958967610249834E-2</v>
      </c>
      <c r="AC264" s="171" t="str">
        <f t="shared" si="155"/>
        <v>0.0372001041226422-0.641529142150028i</v>
      </c>
      <c r="AD264" s="190">
        <f t="shared" si="156"/>
        <v>-3.8410937822285209</v>
      </c>
      <c r="AE264" s="169">
        <f t="shared" si="157"/>
        <v>-86.681327916708369</v>
      </c>
      <c r="AF264" s="98" t="str">
        <f t="shared" si="143"/>
        <v>-0.0000673063927557778</v>
      </c>
      <c r="AG264" s="98" t="str">
        <f t="shared" si="144"/>
        <v>0.000182441265155762i</v>
      </c>
      <c r="AH264" s="98">
        <f t="shared" si="158"/>
        <v>1.82441265155762E-4</v>
      </c>
      <c r="AI264" s="98">
        <f t="shared" si="159"/>
        <v>1.5707963267948966</v>
      </c>
      <c r="AJ264" s="98" t="str">
        <f t="shared" si="145"/>
        <v>1+0.183584847568593i</v>
      </c>
      <c r="AK264" s="98">
        <f t="shared" si="160"/>
        <v>1.0167120517908614</v>
      </c>
      <c r="AL264" s="98">
        <f t="shared" si="161"/>
        <v>0.18156309900168605</v>
      </c>
      <c r="AM264" s="98" t="str">
        <f t="shared" si="146"/>
        <v>1+27.1813565488323i</v>
      </c>
      <c r="AN264" s="98">
        <f t="shared" si="162"/>
        <v>27.199745289887343</v>
      </c>
      <c r="AO264" s="98">
        <f t="shared" si="163"/>
        <v>1.5340229892276462</v>
      </c>
      <c r="AP264" s="168" t="str">
        <f t="shared" si="164"/>
        <v>-9.63529947634993+2.13781586929503i</v>
      </c>
      <c r="AQ264" s="98">
        <f t="shared" si="165"/>
        <v>19.886002115124633</v>
      </c>
      <c r="AR264" s="169">
        <f t="shared" si="166"/>
        <v>167.49024367067415</v>
      </c>
      <c r="AS264" s="168" t="str">
        <f t="shared" si="167"/>
        <v>1.0130370369305+6.2608523803542i</v>
      </c>
      <c r="AT264" s="190">
        <f t="shared" si="168"/>
        <v>16.044908332896117</v>
      </c>
      <c r="AU264" s="169">
        <f t="shared" si="169"/>
        <v>80.80891575396582</v>
      </c>
      <c r="AV264" s="225"/>
      <c r="AX264">
        <f t="shared" si="170"/>
        <v>0</v>
      </c>
      <c r="AY264">
        <f t="shared" si="171"/>
        <v>0</v>
      </c>
    </row>
    <row r="265" spans="14:51" x14ac:dyDescent="0.25">
      <c r="N265" s="170">
        <v>47</v>
      </c>
      <c r="O265" s="199">
        <f t="shared" si="172"/>
        <v>2951.2092266663876</v>
      </c>
      <c r="P265" s="189" t="str">
        <f t="shared" si="138"/>
        <v>87</v>
      </c>
      <c r="Q265" s="160" t="str">
        <f t="shared" si="139"/>
        <v>1+139.072458385524i</v>
      </c>
      <c r="R265" s="160">
        <f t="shared" si="147"/>
        <v>139.07605358721287</v>
      </c>
      <c r="S265" s="160">
        <f t="shared" si="148"/>
        <v>1.5636059543967176</v>
      </c>
      <c r="T265" s="160" t="str">
        <f t="shared" si="140"/>
        <v>1+0.0927149722570155i</v>
      </c>
      <c r="U265" s="160">
        <f t="shared" si="149"/>
        <v>1.004288835983264</v>
      </c>
      <c r="V265" s="160">
        <f t="shared" si="150"/>
        <v>9.2450672742613441E-2</v>
      </c>
      <c r="W265" s="98" t="str">
        <f t="shared" si="141"/>
        <v>1-0.0131346210697439i</v>
      </c>
      <c r="X265" s="160">
        <f t="shared" si="151"/>
        <v>1.0000862554153245</v>
      </c>
      <c r="Y265" s="160">
        <f t="shared" si="152"/>
        <v>-1.3133865827214061E-2</v>
      </c>
      <c r="Z265" s="98" t="str">
        <f t="shared" si="142"/>
        <v>0.999938064811381+0.0275919757436878i</v>
      </c>
      <c r="AA265" s="160">
        <f t="shared" si="153"/>
        <v>1.0003186745153616</v>
      </c>
      <c r="AB265" s="160">
        <f t="shared" si="154"/>
        <v>2.7586684579086262E-2</v>
      </c>
      <c r="AC265" s="171" t="str">
        <f t="shared" si="155"/>
        <v>0.0369861973080463-0.627004013345965i</v>
      </c>
      <c r="AD265" s="190">
        <f t="shared" si="156"/>
        <v>-4.039507780061216</v>
      </c>
      <c r="AE265" s="169">
        <f t="shared" si="157"/>
        <v>-86.624104324890794</v>
      </c>
      <c r="AF265" s="98" t="str">
        <f t="shared" si="143"/>
        <v>-0.0000673063927557778</v>
      </c>
      <c r="AG265" s="98" t="str">
        <f t="shared" si="144"/>
        <v>0.000186690868136726i</v>
      </c>
      <c r="AH265" s="98">
        <f t="shared" si="158"/>
        <v>1.8669086813672599E-4</v>
      </c>
      <c r="AI265" s="98">
        <f t="shared" si="159"/>
        <v>1.5707963267948966</v>
      </c>
      <c r="AJ265" s="98" t="str">
        <f t="shared" si="145"/>
        <v>1+0.187861088005872i</v>
      </c>
      <c r="AK265" s="98">
        <f t="shared" si="160"/>
        <v>1.0174928935313259</v>
      </c>
      <c r="AL265" s="98">
        <f t="shared" si="161"/>
        <v>0.18569675180793332</v>
      </c>
      <c r="AM265" s="98" t="str">
        <f t="shared" si="146"/>
        <v>1+27.8144916771046i</v>
      </c>
      <c r="AN265" s="98">
        <f t="shared" si="162"/>
        <v>27.832462112715092</v>
      </c>
      <c r="AO265" s="98">
        <f t="shared" si="163"/>
        <v>1.5348593236981685</v>
      </c>
      <c r="AP265" s="168" t="str">
        <f t="shared" si="164"/>
        <v>-9.62051655811388+2.16784392687803i</v>
      </c>
      <c r="AQ265" s="98">
        <f t="shared" si="165"/>
        <v>19.879069641757109</v>
      </c>
      <c r="AR265" s="169">
        <f t="shared" si="166"/>
        <v>167.30132124632595</v>
      </c>
      <c r="AS265" s="168" t="str">
        <f t="shared" si="167"/>
        <v>1.00342051883647+6.11228279561127i</v>
      </c>
      <c r="AT265" s="190">
        <f t="shared" si="168"/>
        <v>15.839561861695884</v>
      </c>
      <c r="AU265" s="169">
        <f t="shared" si="169"/>
        <v>80.677216921435189</v>
      </c>
      <c r="AV265" s="225"/>
      <c r="AX265">
        <f t="shared" si="170"/>
        <v>0</v>
      </c>
      <c r="AY265">
        <f t="shared" si="171"/>
        <v>0</v>
      </c>
    </row>
    <row r="266" spans="14:51" x14ac:dyDescent="0.25">
      <c r="N266" s="170">
        <v>48</v>
      </c>
      <c r="O266" s="199">
        <f t="shared" si="172"/>
        <v>3019.9517204020176</v>
      </c>
      <c r="P266" s="189" t="str">
        <f t="shared" si="138"/>
        <v>87</v>
      </c>
      <c r="Q266" s="160" t="str">
        <f t="shared" si="139"/>
        <v>1+142.311872085163i</v>
      </c>
      <c r="R266" s="160">
        <f t="shared" si="147"/>
        <v>142.31538545211404</v>
      </c>
      <c r="S266" s="160">
        <f t="shared" si="148"/>
        <v>1.5637696218046546</v>
      </c>
      <c r="T266" s="160" t="str">
        <f t="shared" si="140"/>
        <v>1+0.0948745813901085i</v>
      </c>
      <c r="U266" s="160">
        <f t="shared" si="149"/>
        <v>1.0044905107535602</v>
      </c>
      <c r="V266" s="160">
        <f t="shared" si="150"/>
        <v>9.4591447690385091E-2</v>
      </c>
      <c r="W266" s="98" t="str">
        <f t="shared" si="141"/>
        <v>1-0.0134405656969321i</v>
      </c>
      <c r="X266" s="160">
        <f t="shared" si="151"/>
        <v>1.0000903203242462</v>
      </c>
      <c r="Y266" s="160">
        <f t="shared" si="152"/>
        <v>-1.3439756443928469E-2</v>
      </c>
      <c r="Z266" s="98" t="str">
        <f t="shared" si="142"/>
        <v>0.999935145895868+0.0282346754216963i</v>
      </c>
      <c r="AA266" s="160">
        <f t="shared" si="153"/>
        <v>1.000333690772214</v>
      </c>
      <c r="AB266" s="160">
        <f t="shared" si="154"/>
        <v>2.8229005937750132E-2</v>
      </c>
      <c r="AC266" s="171" t="str">
        <f t="shared" si="155"/>
        <v>0.036781731322379-0.612811188397898i</v>
      </c>
      <c r="AD266" s="190">
        <f t="shared" si="156"/>
        <v>-4.2378486882891799</v>
      </c>
      <c r="AE266" s="169">
        <f t="shared" si="157"/>
        <v>-86.565152951487747</v>
      </c>
      <c r="AF266" s="98" t="str">
        <f t="shared" si="143"/>
        <v>-0.0000673063927557778</v>
      </c>
      <c r="AG266" s="98" t="str">
        <f t="shared" si="144"/>
        <v>0.000191039457087122i</v>
      </c>
      <c r="AH266" s="98">
        <f t="shared" si="158"/>
        <v>1.91039457087122E-4</v>
      </c>
      <c r="AI266" s="98">
        <f t="shared" si="159"/>
        <v>1.5707963267948966</v>
      </c>
      <c r="AJ266" s="98" t="str">
        <f t="shared" si="145"/>
        <v>1+0.192236934878647i</v>
      </c>
      <c r="AK266" s="98">
        <f t="shared" si="160"/>
        <v>1.0183098934663932</v>
      </c>
      <c r="AL266" s="98">
        <f t="shared" si="161"/>
        <v>0.18992005304051801</v>
      </c>
      <c r="AM266" s="98" t="str">
        <f t="shared" si="146"/>
        <v>1+28.4623744170325i</v>
      </c>
      <c r="AN266" s="98">
        <f t="shared" si="162"/>
        <v>28.47993605075942</v>
      </c>
      <c r="AO266" s="98">
        <f t="shared" si="163"/>
        <v>1.5356766694734705</v>
      </c>
      <c r="AP266" s="168" t="str">
        <f t="shared" si="164"/>
        <v>-9.60508548277635+2.19876890117205i</v>
      </c>
      <c r="AQ266" s="98">
        <f t="shared" si="165"/>
        <v>19.871845735797976</v>
      </c>
      <c r="AR266" s="169">
        <f t="shared" si="166"/>
        <v>167.10617437341418</v>
      </c>
      <c r="AS266" s="168" t="str">
        <f t="shared" si="167"/>
        <v>0.994138509783622+5.96697837632649i</v>
      </c>
      <c r="AT266" s="190">
        <f t="shared" si="168"/>
        <v>15.633997047508801</v>
      </c>
      <c r="AU266" s="169">
        <f t="shared" si="169"/>
        <v>80.541021421926473</v>
      </c>
      <c r="AV266" s="225"/>
      <c r="AX266">
        <f t="shared" si="170"/>
        <v>0</v>
      </c>
      <c r="AY266">
        <f t="shared" si="171"/>
        <v>0</v>
      </c>
    </row>
    <row r="267" spans="14:51" x14ac:dyDescent="0.25">
      <c r="N267" s="170">
        <v>49</v>
      </c>
      <c r="O267" s="199">
        <f t="shared" si="172"/>
        <v>3090.295432513592</v>
      </c>
      <c r="P267" s="189" t="str">
        <f t="shared" si="138"/>
        <v>87</v>
      </c>
      <c r="Q267" s="160" t="str">
        <f t="shared" si="139"/>
        <v>1+145.626741423102i</v>
      </c>
      <c r="R267" s="160">
        <f t="shared" si="147"/>
        <v>145.63017481796487</v>
      </c>
      <c r="S267" s="160">
        <f t="shared" si="148"/>
        <v>1.5639295640513124</v>
      </c>
      <c r="T267" s="160" t="str">
        <f t="shared" si="140"/>
        <v>1+0.097084494282068i</v>
      </c>
      <c r="U267" s="160">
        <f t="shared" si="149"/>
        <v>1.0047016467738097</v>
      </c>
      <c r="V267" s="160">
        <f t="shared" si="150"/>
        <v>9.678118768194123E-2</v>
      </c>
      <c r="W267" s="98" t="str">
        <f t="shared" si="141"/>
        <v>1-0.0137536366899597i</v>
      </c>
      <c r="X267" s="160">
        <f t="shared" si="151"/>
        <v>1.0000945767887153</v>
      </c>
      <c r="Y267" s="160">
        <f t="shared" si="152"/>
        <v>-1.3752769564172297E-2</v>
      </c>
      <c r="Z267" s="98" t="str">
        <f t="shared" si="142"/>
        <v>0.999932089416105+0.0288923454983434i</v>
      </c>
      <c r="AA267" s="160">
        <f t="shared" si="153"/>
        <v>1.0003494144909835</v>
      </c>
      <c r="AB267" s="160">
        <f t="shared" si="154"/>
        <v>2.8886270650243576E-2</v>
      </c>
      <c r="AC267" s="171" t="str">
        <f t="shared" si="155"/>
        <v>0.0365862726135461-0.598943150894728i</v>
      </c>
      <c r="AD267" s="190">
        <f t="shared" si="156"/>
        <v>-4.4361130835687126</v>
      </c>
      <c r="AE267" s="169">
        <f t="shared" si="157"/>
        <v>-86.504446932210826</v>
      </c>
      <c r="AF267" s="98" t="str">
        <f t="shared" si="143"/>
        <v>-0.0000673063927557778</v>
      </c>
      <c r="AG267" s="98" t="str">
        <f t="shared" si="144"/>
        <v>0.000195489337686372i</v>
      </c>
      <c r="AH267" s="98">
        <f t="shared" si="158"/>
        <v>1.95489337686372E-4</v>
      </c>
      <c r="AI267" s="98">
        <f t="shared" si="159"/>
        <v>1.5707963267948966</v>
      </c>
      <c r="AJ267" s="98" t="str">
        <f t="shared" si="145"/>
        <v>1+0.19671470831885i</v>
      </c>
      <c r="AK267" s="98">
        <f t="shared" si="160"/>
        <v>1.019164695458477</v>
      </c>
      <c r="AL267" s="98">
        <f t="shared" si="161"/>
        <v>0.19423463903359378</v>
      </c>
      <c r="AM267" s="98" t="str">
        <f t="shared" si="146"/>
        <v>1+29.1253482846204i</v>
      </c>
      <c r="AN267" s="98">
        <f t="shared" si="162"/>
        <v>29.14251040491262</v>
      </c>
      <c r="AO267" s="98">
        <f t="shared" si="163"/>
        <v>1.5364754555503559</v>
      </c>
      <c r="AP267" s="168" t="str">
        <f t="shared" si="164"/>
        <v>-9.58898013086269+2.23059043083958i</v>
      </c>
      <c r="AQ267" s="98">
        <f t="shared" si="165"/>
        <v>19.864316588044083</v>
      </c>
      <c r="AR267" s="169">
        <f t="shared" si="166"/>
        <v>166.90473387660396</v>
      </c>
      <c r="AS267" s="168" t="str">
        <f t="shared" si="167"/>
        <v>0.985171819849068+5.82486296303771i</v>
      </c>
      <c r="AT267" s="190">
        <f t="shared" si="168"/>
        <v>15.428203504475377</v>
      </c>
      <c r="AU267" s="169">
        <f t="shared" si="169"/>
        <v>80.40028694439313</v>
      </c>
      <c r="AV267" s="225"/>
      <c r="AX267">
        <f t="shared" si="170"/>
        <v>0</v>
      </c>
      <c r="AY267">
        <f t="shared" si="171"/>
        <v>0</v>
      </c>
    </row>
    <row r="268" spans="14:51" x14ac:dyDescent="0.25">
      <c r="N268" s="170">
        <v>50</v>
      </c>
      <c r="O268" s="199">
        <f t="shared" si="172"/>
        <v>3162.2776601683804</v>
      </c>
      <c r="P268" s="189" t="str">
        <f t="shared" si="138"/>
        <v>87</v>
      </c>
      <c r="Q268" s="160" t="str">
        <f t="shared" si="139"/>
        <v>1+149.018823986942i</v>
      </c>
      <c r="R268" s="160">
        <f t="shared" si="147"/>
        <v>149.02217922997639</v>
      </c>
      <c r="S268" s="160">
        <f t="shared" si="148"/>
        <v>1.5640858659074355</v>
      </c>
      <c r="T268" s="160" t="str">
        <f t="shared" si="140"/>
        <v>1+0.099345882657961i</v>
      </c>
      <c r="U268" s="160">
        <f t="shared" si="149"/>
        <v>1.0049226857828861</v>
      </c>
      <c r="V268" s="160">
        <f t="shared" si="150"/>
        <v>9.9020969702421885E-2</v>
      </c>
      <c r="W268" s="98" t="str">
        <f t="shared" si="141"/>
        <v>1-0.0140740000432112i</v>
      </c>
      <c r="X268" s="160">
        <f t="shared" si="151"/>
        <v>1.000099033834758</v>
      </c>
      <c r="Y268" s="160">
        <f t="shared" si="152"/>
        <v>-1.4073070906159073E-2</v>
      </c>
      <c r="Z268" s="98" t="str">
        <f t="shared" si="142"/>
        <v>0.999928888888889+0.0295653346790092i</v>
      </c>
      <c r="AA268" s="160">
        <f t="shared" si="153"/>
        <v>1.0003658789909069</v>
      </c>
      <c r="AB268" s="160">
        <f t="shared" si="154"/>
        <v>2.9558825489224078E-2</v>
      </c>
      <c r="AC268" s="171" t="str">
        <f t="shared" si="155"/>
        <v>0.0363994067253181-0.58539255599658i</v>
      </c>
      <c r="AD268" s="190">
        <f t="shared" si="156"/>
        <v>-4.6342973893891424</v>
      </c>
      <c r="AE268" s="169">
        <f t="shared" si="157"/>
        <v>-86.441958780926825</v>
      </c>
      <c r="AF268" s="98" t="str">
        <f t="shared" si="143"/>
        <v>-0.0000673063927557778</v>
      </c>
      <c r="AG268" s="98" t="str">
        <f t="shared" si="144"/>
        <v>0.00020004286932007i</v>
      </c>
      <c r="AH268" s="98">
        <f t="shared" si="158"/>
        <v>2.0004286932007E-4</v>
      </c>
      <c r="AI268" s="98">
        <f t="shared" si="159"/>
        <v>1.5707963267948966</v>
      </c>
      <c r="AJ268" s="98" t="str">
        <f t="shared" si="145"/>
        <v>1+0.201296782501232i</v>
      </c>
      <c r="AK268" s="98">
        <f t="shared" si="160"/>
        <v>1.0200590152757576</v>
      </c>
      <c r="AL268" s="98">
        <f t="shared" si="161"/>
        <v>0.19864215457781675</v>
      </c>
      <c r="AM268" s="98" t="str">
        <f t="shared" si="146"/>
        <v>1+29.8037647973883i</v>
      </c>
      <c r="AN268" s="98">
        <f t="shared" si="162"/>
        <v>29.820536482398204</v>
      </c>
      <c r="AO268" s="98">
        <f t="shared" si="163"/>
        <v>1.5372561013760642</v>
      </c>
      <c r="AP268" s="168" t="str">
        <f t="shared" si="164"/>
        <v>-9.57217354307491+2.26330758051942i</v>
      </c>
      <c r="AQ268" s="98">
        <f t="shared" si="165"/>
        <v>19.856467880271069</v>
      </c>
      <c r="AR268" s="169">
        <f t="shared" si="166"/>
        <v>166.69692954888922</v>
      </c>
      <c r="AS268" s="168" t="str">
        <f t="shared" si="167"/>
        <v>0.976501971526986+5.68586218999128i</v>
      </c>
      <c r="AT268" s="190">
        <f t="shared" si="168"/>
        <v>15.222170490881918</v>
      </c>
      <c r="AU268" s="169">
        <f t="shared" si="169"/>
        <v>80.254970767962405</v>
      </c>
      <c r="AV268" s="225"/>
      <c r="AX268">
        <f t="shared" si="170"/>
        <v>0</v>
      </c>
      <c r="AY268">
        <f t="shared" si="171"/>
        <v>0</v>
      </c>
    </row>
    <row r="269" spans="14:51" x14ac:dyDescent="0.25">
      <c r="N269" s="170">
        <v>51</v>
      </c>
      <c r="O269" s="199">
        <f t="shared" si="172"/>
        <v>3235.9365692962833</v>
      </c>
      <c r="P269" s="189" t="str">
        <f t="shared" si="138"/>
        <v>87</v>
      </c>
      <c r="Q269" s="160" t="str">
        <f t="shared" si="139"/>
        <v>1+152.489918303757i</v>
      </c>
      <c r="R269" s="160">
        <f t="shared" si="147"/>
        <v>152.49319717379686</v>
      </c>
      <c r="S269" s="160">
        <f t="shared" si="148"/>
        <v>1.5642386102157715</v>
      </c>
      <c r="T269" s="160" t="str">
        <f t="shared" si="140"/>
        <v>1+0.101659945535838i</v>
      </c>
      <c r="U269" s="160">
        <f t="shared" si="149"/>
        <v>1.0051540899416116</v>
      </c>
      <c r="V269" s="160">
        <f t="shared" si="150"/>
        <v>0.10131189137537217</v>
      </c>
      <c r="W269" s="98" t="str">
        <f t="shared" si="141"/>
        <v>1-0.014401825617577i</v>
      </c>
      <c r="X269" s="160">
        <f t="shared" si="151"/>
        <v>1.0001037009136198</v>
      </c>
      <c r="Y269" s="160">
        <f t="shared" si="152"/>
        <v>-1.4400830034863836E-2</v>
      </c>
      <c r="Z269" s="98" t="str">
        <f t="shared" si="142"/>
        <v>0.999925537525472+0.0302539997914652i</v>
      </c>
      <c r="AA269" s="160">
        <f t="shared" si="153"/>
        <v>1.0003831191593477</v>
      </c>
      <c r="AB269" s="160">
        <f t="shared" si="154"/>
        <v>3.0247025211696851E-2</v>
      </c>
      <c r="AC269" s="171" t="str">
        <f t="shared" si="155"/>
        <v>0.036220737419382-0.572152226579472i</v>
      </c>
      <c r="AD269" s="190">
        <f t="shared" si="156"/>
        <v>-4.8323978693506877</v>
      </c>
      <c r="AE269" s="169">
        <f t="shared" si="157"/>
        <v>-86.377660396415465</v>
      </c>
      <c r="AF269" s="98" t="str">
        <f t="shared" si="143"/>
        <v>-0.0000673063927557778</v>
      </c>
      <c r="AG269" s="98" t="str">
        <f t="shared" si="144"/>
        <v>0.000204702466330963i</v>
      </c>
      <c r="AH269" s="98">
        <f t="shared" si="158"/>
        <v>2.0470246633096299E-4</v>
      </c>
      <c r="AI269" s="98">
        <f t="shared" si="159"/>
        <v>1.5707963267948966</v>
      </c>
      <c r="AJ269" s="98" t="str">
        <f t="shared" si="145"/>
        <v>1+0.205985586902174i</v>
      </c>
      <c r="AK269" s="98">
        <f t="shared" si="160"/>
        <v>1.0209946434783255</v>
      </c>
      <c r="AL269" s="98">
        <f t="shared" si="161"/>
        <v>0.20314425129934721</v>
      </c>
      <c r="AM269" s="98" t="str">
        <f t="shared" si="146"/>
        <v>1+30.4979836607512i</v>
      </c>
      <c r="AN269" s="98">
        <f t="shared" si="162"/>
        <v>30.514373783046036</v>
      </c>
      <c r="AO269" s="98">
        <f t="shared" si="163"/>
        <v>1.5380190170513164</v>
      </c>
      <c r="AP269" s="168" t="str">
        <f t="shared" si="164"/>
        <v>-9.55463791348799+2.29691878189919i</v>
      </c>
      <c r="AQ269" s="98">
        <f t="shared" si="165"/>
        <v>19.848284767232602</v>
      </c>
      <c r="AR269" s="169">
        <f t="shared" si="166"/>
        <v>166.48269025610227</v>
      </c>
      <c r="AS269" s="168" t="str">
        <f t="shared" si="167"/>
        <v>0.96811116433411+5.54990344843561i</v>
      </c>
      <c r="AT269" s="190">
        <f t="shared" si="168"/>
        <v>15.015886897881911</v>
      </c>
      <c r="AU269" s="169">
        <f t="shared" si="169"/>
        <v>80.105029859686823</v>
      </c>
      <c r="AV269" s="225"/>
      <c r="AX269">
        <f t="shared" si="170"/>
        <v>0</v>
      </c>
      <c r="AY269">
        <f t="shared" si="171"/>
        <v>0</v>
      </c>
    </row>
    <row r="270" spans="14:51" x14ac:dyDescent="0.25">
      <c r="N270" s="170">
        <v>52</v>
      </c>
      <c r="O270" s="199">
        <f t="shared" si="172"/>
        <v>3311.3112148259115</v>
      </c>
      <c r="P270" s="189" t="str">
        <f t="shared" si="138"/>
        <v>87</v>
      </c>
      <c r="Q270" s="160" t="str">
        <f t="shared" si="139"/>
        <v>1+156.041864793699i</v>
      </c>
      <c r="R270" s="160">
        <f t="shared" si="147"/>
        <v>156.04506902909503</v>
      </c>
      <c r="S270" s="160">
        <f t="shared" si="148"/>
        <v>1.5643878779348488</v>
      </c>
      <c r="T270" s="160" t="str">
        <f t="shared" si="140"/>
        <v>1+0.104027909862466i</v>
      </c>
      <c r="U270" s="160">
        <f t="shared" si="149"/>
        <v>1.0053963427575978</v>
      </c>
      <c r="V270" s="160">
        <f t="shared" si="150"/>
        <v>0.10365507113709313</v>
      </c>
      <c r="W270" s="98" t="str">
        <f t="shared" si="141"/>
        <v>1-0.014737287230516i</v>
      </c>
      <c r="X270" s="160">
        <f t="shared" si="151"/>
        <v>1.000108587921789</v>
      </c>
      <c r="Y270" s="160">
        <f t="shared" si="152"/>
        <v>-1.4736220450674499E-2</v>
      </c>
      <c r="Z270" s="98" t="str">
        <f t="shared" si="142"/>
        <v>0.999922028217163+0.0309587059750699i</v>
      </c>
      <c r="AA270" s="160">
        <f t="shared" si="153"/>
        <v>1.0004011715254915</v>
      </c>
      <c r="AB270" s="160">
        <f t="shared" si="154"/>
        <v>3.0951232738359941E-2</v>
      </c>
      <c r="AC270" s="171" t="str">
        <f>(IMDIV(IMPRODUCT(P270,T270,W270),IMPRODUCT(Q270,Z270)))</f>
        <v>0.0360498858359619-0.559215149466095i</v>
      </c>
      <c r="AD270" s="190">
        <f t="shared" si="156"/>
        <v>-5.0304106201836269</v>
      </c>
      <c r="AE270" s="169">
        <f t="shared" si="157"/>
        <v>-86.311523070243268</v>
      </c>
      <c r="AF270" s="98" t="str">
        <f t="shared" si="143"/>
        <v>-0.0000673063927557778</v>
      </c>
      <c r="AG270" s="98" t="str">
        <f t="shared" si="144"/>
        <v>0.000209470599299061i</v>
      </c>
      <c r="AH270" s="98">
        <f t="shared" si="158"/>
        <v>2.0947059929906099E-4</v>
      </c>
      <c r="AI270" s="98">
        <f t="shared" si="159"/>
        <v>1.5707963267948966</v>
      </c>
      <c r="AJ270" s="98" t="str">
        <f t="shared" si="145"/>
        <v>1+0.210783607587833i</v>
      </c>
      <c r="AK270" s="98">
        <f t="shared" si="160"/>
        <v>1.0219734483966507</v>
      </c>
      <c r="AL270" s="98">
        <f t="shared" si="161"/>
        <v>0.20774258590462447</v>
      </c>
      <c r="AM270" s="98" t="str">
        <f t="shared" si="146"/>
        <v>1+31.2083729587398i</v>
      </c>
      <c r="AN270" s="98">
        <f t="shared" si="162"/>
        <v>31.224390189910864</v>
      </c>
      <c r="AO270" s="98">
        <f t="shared" si="163"/>
        <v>1.53876460352969</v>
      </c>
      <c r="AP270" s="168" t="str">
        <f t="shared" si="164"/>
        <v>-9.53634458492351+2.33142177204584i</v>
      </c>
      <c r="AQ270" s="98">
        <f t="shared" si="165"/>
        <v>19.839751858592138</v>
      </c>
      <c r="AR270" s="169">
        <f t="shared" si="166"/>
        <v>166.2619440489037</v>
      </c>
      <c r="AS270" s="168" t="str">
        <f t="shared" si="167"/>
        <v>0.959982241144236+5.41691585113592i</v>
      </c>
      <c r="AT270" s="190">
        <f t="shared" si="168"/>
        <v>14.809341238408518</v>
      </c>
      <c r="AU270" s="169">
        <f t="shared" si="169"/>
        <v>79.950420978660432</v>
      </c>
      <c r="AV270" s="225"/>
      <c r="AX270">
        <f t="shared" si="170"/>
        <v>0</v>
      </c>
      <c r="AY270">
        <f t="shared" si="171"/>
        <v>0</v>
      </c>
    </row>
    <row r="271" spans="14:51" x14ac:dyDescent="0.25">
      <c r="N271" s="170">
        <v>53</v>
      </c>
      <c r="O271" s="199">
        <f t="shared" si="172"/>
        <v>3388.4415613920314</v>
      </c>
      <c r="P271" s="189" t="str">
        <f t="shared" si="138"/>
        <v>87</v>
      </c>
      <c r="Q271" s="160" t="str">
        <f t="shared" si="139"/>
        <v>1+159.676546745814i</v>
      </c>
      <c r="R271" s="160">
        <f t="shared" si="147"/>
        <v>159.67967804535468</v>
      </c>
      <c r="S271" s="160">
        <f t="shared" si="148"/>
        <v>1.5645337481817663</v>
      </c>
      <c r="T271" s="160" t="str">
        <f t="shared" si="140"/>
        <v>1+0.106451031163875i</v>
      </c>
      <c r="U271" s="160">
        <f t="shared" si="149"/>
        <v>1.0056499500501417</v>
      </c>
      <c r="V271" s="160">
        <f t="shared" si="150"/>
        <v>0.10605164839454306</v>
      </c>
      <c r="W271" s="98" t="str">
        <f t="shared" si="141"/>
        <v>1-0.0150805627482157i</v>
      </c>
      <c r="X271" s="160">
        <f t="shared" si="151"/>
        <v>1.0001137052219626</v>
      </c>
      <c r="Y271" s="160">
        <f t="shared" si="152"/>
        <v>-1.507941968003991E-2</v>
      </c>
      <c r="Z271" s="98" t="str">
        <f t="shared" si="142"/>
        <v>0.999918353520249+0.0316798268743694i</v>
      </c>
      <c r="AA271" s="160">
        <f t="shared" si="153"/>
        <v>1.0004200743374934</v>
      </c>
      <c r="AB271" s="160">
        <f t="shared" si="154"/>
        <v>3.1671819336652612E-2</v>
      </c>
      <c r="AC271" s="171" t="str">
        <f t="shared" si="155"/>
        <v>0.0358864896912419-0.546574471740853i</v>
      </c>
      <c r="AD271" s="190">
        <f t="shared" si="156"/>
        <v>-5.228331564501759</v>
      </c>
      <c r="AE271" s="169">
        <f t="shared" si="157"/>
        <v>-86.243517495849886</v>
      </c>
      <c r="AF271" s="98" t="str">
        <f t="shared" si="143"/>
        <v>-0.0000673063927557778</v>
      </c>
      <c r="AG271" s="98" t="str">
        <f t="shared" si="144"/>
        <v>0.000214349796351579i</v>
      </c>
      <c r="AH271" s="98">
        <f t="shared" si="158"/>
        <v>2.1434979635157899E-4</v>
      </c>
      <c r="AI271" s="98">
        <f t="shared" si="159"/>
        <v>1.5707963267948966</v>
      </c>
      <c r="AJ271" s="98" t="str">
        <f t="shared" si="145"/>
        <v>1+0.215693388532286i</v>
      </c>
      <c r="AK271" s="98">
        <f t="shared" si="160"/>
        <v>1.0229973792031628</v>
      </c>
      <c r="AL271" s="98">
        <f t="shared" si="161"/>
        <v>0.21243881828440192</v>
      </c>
      <c r="AM271" s="98" t="str">
        <f t="shared" si="146"/>
        <v>1+31.9353093491626i</v>
      </c>
      <c r="AN271" s="98">
        <f t="shared" si="162"/>
        <v>31.950962164334147</v>
      </c>
      <c r="AO271" s="98">
        <f t="shared" si="163"/>
        <v>1.5394932528133418</v>
      </c>
      <c r="AP271" s="168" t="str">
        <f t="shared" si="164"/>
        <v>-9.51726404675769+2.36681352896476i</v>
      </c>
      <c r="AQ271" s="98">
        <f t="shared" si="165"/>
        <v>19.830853200830379</v>
      </c>
      <c r="AR271" s="169">
        <f t="shared" si="166"/>
        <v>166.03461828262832</v>
      </c>
      <c r="AS271" s="168" t="str">
        <f t="shared" si="167"/>
        <v>0.952098656200221+5.28683019808308i</v>
      </c>
      <c r="AT271" s="190">
        <f t="shared" si="168"/>
        <v>14.602521636328616</v>
      </c>
      <c r="AU271" s="169">
        <f t="shared" si="169"/>
        <v>79.791100786778415</v>
      </c>
      <c r="AV271" s="225"/>
      <c r="AX271">
        <f t="shared" si="170"/>
        <v>0</v>
      </c>
      <c r="AY271">
        <f t="shared" si="171"/>
        <v>0</v>
      </c>
    </row>
    <row r="272" spans="14:51" x14ac:dyDescent="0.25">
      <c r="N272" s="170">
        <v>54</v>
      </c>
      <c r="O272" s="199">
        <f t="shared" si="172"/>
        <v>3467.3685045253224</v>
      </c>
      <c r="P272" s="189" t="str">
        <f t="shared" si="138"/>
        <v>87</v>
      </c>
      <c r="Q272" s="160" t="str">
        <f t="shared" si="139"/>
        <v>1+163.395891316581i</v>
      </c>
      <c r="R272" s="160">
        <f t="shared" si="147"/>
        <v>163.39895134039244</v>
      </c>
      <c r="S272" s="160">
        <f t="shared" si="148"/>
        <v>1.5646762982740143</v>
      </c>
      <c r="T272" s="160" t="str">
        <f t="shared" si="140"/>
        <v>1+0.108930594211054i</v>
      </c>
      <c r="U272" s="160">
        <f t="shared" si="149"/>
        <v>1.0059154409567304</v>
      </c>
      <c r="V272" s="160">
        <f t="shared" si="150"/>
        <v>0.10850278366509429</v>
      </c>
      <c r="W272" s="98" t="str">
        <f t="shared" si="141"/>
        <v>1-0.0154318341798993i</v>
      </c>
      <c r="X272" s="160">
        <f t="shared" si="151"/>
        <v>1.0001190636649997</v>
      </c>
      <c r="Y272" s="160">
        <f t="shared" si="152"/>
        <v>-1.5430609368156862E-2</v>
      </c>
      <c r="Z272" s="98" t="str">
        <f t="shared" si="142"/>
        <v>0.999914505640205+0.0324177448372097i</v>
      </c>
      <c r="AA272" s="160">
        <f t="shared" si="153"/>
        <v>1.0004398676432411</v>
      </c>
      <c r="AB272" s="160">
        <f t="shared" si="154"/>
        <v>3.2409164807563819E-2</v>
      </c>
      <c r="AC272" s="171" t="str">
        <f t="shared" si="155"/>
        <v>0.0357302025098915-0.534223497147365i</v>
      </c>
      <c r="AD272" s="190">
        <f t="shared" si="156"/>
        <v>-5.4261564432829266</v>
      </c>
      <c r="AE272" s="169">
        <f t="shared" si="157"/>
        <v>-86.173613778950568</v>
      </c>
      <c r="AF272" s="98" t="str">
        <f t="shared" si="143"/>
        <v>-0.0000673063927557778</v>
      </c>
      <c r="AG272" s="98" t="str">
        <f t="shared" si="144"/>
        <v>0.000219342644503378i</v>
      </c>
      <c r="AH272" s="98">
        <f t="shared" si="158"/>
        <v>2.19342644503378E-4</v>
      </c>
      <c r="AI272" s="98">
        <f t="shared" si="159"/>
        <v>1.5707963267948966</v>
      </c>
      <c r="AJ272" s="98" t="str">
        <f t="shared" si="145"/>
        <v>1+0.220717532966379i</v>
      </c>
      <c r="AK272" s="98">
        <f t="shared" si="160"/>
        <v>1.0240684690775146</v>
      </c>
      <c r="AL272" s="98">
        <f t="shared" si="161"/>
        <v>0.21723460947051049</v>
      </c>
      <c r="AM272" s="98" t="str">
        <f t="shared" si="146"/>
        <v>1+32.6791782633162i</v>
      </c>
      <c r="AN272" s="98">
        <f t="shared" si="162"/>
        <v>32.694474945556138</v>
      </c>
      <c r="AO272" s="98">
        <f t="shared" si="163"/>
        <v>1.5402053481451041</v>
      </c>
      <c r="AP272" s="168" t="str">
        <f t="shared" si="164"/>
        <v>-9.49736593543912+2.40309020437362i</v>
      </c>
      <c r="AQ272" s="98">
        <f t="shared" si="165"/>
        <v>19.821572259178776</v>
      </c>
      <c r="AR272" s="169">
        <f t="shared" si="166"/>
        <v>165.80063974535921</v>
      </c>
      <c r="AS272" s="168" t="str">
        <f t="shared" si="167"/>
        <v>0.944444444757266+5.15957894337035i</v>
      </c>
      <c r="AT272" s="190">
        <f t="shared" si="168"/>
        <v>14.395415815895852</v>
      </c>
      <c r="AU272" s="169">
        <f t="shared" si="169"/>
        <v>79.627025966408624</v>
      </c>
      <c r="AV272" s="225"/>
      <c r="AX272">
        <f t="shared" si="170"/>
        <v>0</v>
      </c>
      <c r="AY272">
        <f t="shared" si="171"/>
        <v>0</v>
      </c>
    </row>
    <row r="273" spans="14:51" x14ac:dyDescent="0.25">
      <c r="N273" s="170">
        <v>55</v>
      </c>
      <c r="O273" s="199">
        <f t="shared" si="172"/>
        <v>3548.1338923357539</v>
      </c>
      <c r="P273" s="189" t="str">
        <f t="shared" si="138"/>
        <v>87</v>
      </c>
      <c r="Q273" s="160" t="str">
        <f t="shared" si="139"/>
        <v>1+167.201870551725i</v>
      </c>
      <c r="R273" s="160">
        <f t="shared" si="147"/>
        <v>167.20486092215083</v>
      </c>
      <c r="S273" s="160">
        <f t="shared" si="148"/>
        <v>1.5648156037703522</v>
      </c>
      <c r="T273" s="160" t="str">
        <f t="shared" si="140"/>
        <v>1+0.11146791370115i</v>
      </c>
      <c r="U273" s="160">
        <f t="shared" si="149"/>
        <v>1.0061933689827651</v>
      </c>
      <c r="V273" s="160">
        <f t="shared" si="150"/>
        <v>0.11100965869634617</v>
      </c>
      <c r="W273" s="98" t="str">
        <f t="shared" si="141"/>
        <v>1-0.0157912877743295i</v>
      </c>
      <c r="X273" s="160">
        <f t="shared" si="151"/>
        <v>1.0001246746129062</v>
      </c>
      <c r="Y273" s="160">
        <f t="shared" si="152"/>
        <v>-1.5789975373738094E-2</v>
      </c>
      <c r="Z273" s="98" t="str">
        <f t="shared" si="142"/>
        <v>0.999910476415161+0.0331728511174621i</v>
      </c>
      <c r="AA273" s="160">
        <f t="shared" si="153"/>
        <v>1.0004605933748991</v>
      </c>
      <c r="AB273" s="160">
        <f t="shared" si="154"/>
        <v>3.3163657676248688E-2</v>
      </c>
      <c r="AC273" s="171" t="str">
        <f t="shared" si="155"/>
        <v>0.0355806928910719-0.522155682566635i</v>
      </c>
      <c r="AD273" s="190">
        <f t="shared" si="156"/>
        <v>-5.6238808080700418</v>
      </c>
      <c r="AE273" s="169">
        <f t="shared" si="157"/>
        <v>-86.101781449364893</v>
      </c>
      <c r="AF273" s="98" t="str">
        <f t="shared" si="143"/>
        <v>-0.0000673063927557778</v>
      </c>
      <c r="AG273" s="98" t="str">
        <f t="shared" si="144"/>
        <v>0.000224451791028635i</v>
      </c>
      <c r="AH273" s="98">
        <f t="shared" si="158"/>
        <v>2.2445179102863501E-4</v>
      </c>
      <c r="AI273" s="98">
        <f t="shared" si="159"/>
        <v>1.5707963267948966</v>
      </c>
      <c r="AJ273" s="98" t="str">
        <f t="shared" si="145"/>
        <v>1+0.225858704757991i</v>
      </c>
      <c r="AK273" s="98">
        <f t="shared" si="160"/>
        <v>1.0251888384658494</v>
      </c>
      <c r="AL273" s="98">
        <f t="shared" si="161"/>
        <v>0.22213161943879128</v>
      </c>
      <c r="AM273" s="98" t="str">
        <f t="shared" si="146"/>
        <v>1+33.4403741103448i</v>
      </c>
      <c r="AN273" s="98">
        <f t="shared" si="162"/>
        <v>33.455322754979044</v>
      </c>
      <c r="AO273" s="98">
        <f t="shared" si="163"/>
        <v>1.5409012641969819</v>
      </c>
      <c r="AP273" s="168" t="str">
        <f t="shared" si="164"/>
        <v>-9.47661903800784+2.4402470536916i</v>
      </c>
      <c r="AQ273" s="98">
        <f t="shared" si="165"/>
        <v>19.81189189963407</v>
      </c>
      <c r="AR273" s="169">
        <f t="shared" si="166"/>
        <v>165.55993479461122</v>
      </c>
      <c r="AS273" s="168" t="str">
        <f t="shared" si="167"/>
        <v>0.937004194314515+5.03509616321069i</v>
      </c>
      <c r="AT273" s="190">
        <f t="shared" si="168"/>
        <v>14.188011091564016</v>
      </c>
      <c r="AU273" s="169">
        <f t="shared" si="169"/>
        <v>79.458153345246345</v>
      </c>
      <c r="AV273" s="225"/>
      <c r="AX273">
        <f t="shared" si="170"/>
        <v>0</v>
      </c>
      <c r="AY273">
        <f t="shared" si="171"/>
        <v>0</v>
      </c>
    </row>
    <row r="274" spans="14:51" x14ac:dyDescent="0.25">
      <c r="N274" s="170">
        <v>56</v>
      </c>
      <c r="O274" s="199">
        <f t="shared" si="172"/>
        <v>3630.7805477010188</v>
      </c>
      <c r="P274" s="189" t="str">
        <f t="shared" si="138"/>
        <v>87</v>
      </c>
      <c r="Q274" s="160" t="str">
        <f t="shared" si="139"/>
        <v>1+171.096502431814i</v>
      </c>
      <c r="R274" s="160">
        <f t="shared" si="147"/>
        <v>171.09942473427469</v>
      </c>
      <c r="S274" s="160">
        <f t="shared" si="148"/>
        <v>1.5649517385107585</v>
      </c>
      <c r="T274" s="160" t="str">
        <f t="shared" si="140"/>
        <v>1+0.114064334954543i</v>
      </c>
      <c r="U274" s="160">
        <f t="shared" si="149"/>
        <v>1.0064843130961467</v>
      </c>
      <c r="V274" s="160">
        <f t="shared" si="150"/>
        <v>0.1135734765640873</v>
      </c>
      <c r="W274" s="98" t="str">
        <f t="shared" si="141"/>
        <v>1-0.0161591141185602i</v>
      </c>
      <c r="X274" s="160">
        <f t="shared" si="151"/>
        <v>1.0001305499629018</v>
      </c>
      <c r="Y274" s="160">
        <f t="shared" si="152"/>
        <v>-1.6157707865904175E-2</v>
      </c>
      <c r="Z274" s="98" t="str">
        <f t="shared" si="142"/>
        <v>0.999906257298592+0.0339455460824719i</v>
      </c>
      <c r="AA274" s="160">
        <f t="shared" si="153"/>
        <v>1.0004822954374131</v>
      </c>
      <c r="AB274" s="160">
        <f t="shared" si="154"/>
        <v>3.3935695386506121E-2</v>
      </c>
      <c r="AC274" s="171" t="str">
        <f t="shared" si="155"/>
        <v>0.0354376438063872-0.510364634574243i</v>
      </c>
      <c r="AD274" s="190">
        <f t="shared" si="156"/>
        <v>-5.8215000128843606</v>
      </c>
      <c r="AE274" s="169">
        <f t="shared" si="157"/>
        <v>-86.027989474387127</v>
      </c>
      <c r="AF274" s="98" t="str">
        <f t="shared" si="143"/>
        <v>-0.0000673063927557778</v>
      </c>
      <c r="AG274" s="98" t="str">
        <f t="shared" si="144"/>
        <v>0.000229679944864467i</v>
      </c>
      <c r="AH274" s="98">
        <f t="shared" si="158"/>
        <v>2.2967994486446699E-4</v>
      </c>
      <c r="AI274" s="98">
        <f t="shared" si="159"/>
        <v>1.5707963267948966</v>
      </c>
      <c r="AJ274" s="98" t="str">
        <f t="shared" si="145"/>
        <v>1+0.23111962982446i</v>
      </c>
      <c r="AK274" s="98">
        <f t="shared" si="160"/>
        <v>1.0263606984341302</v>
      </c>
      <c r="AL274" s="98">
        <f t="shared" si="161"/>
        <v>0.22713150475168523</v>
      </c>
      <c r="AM274" s="98" t="str">
        <f t="shared" si="146"/>
        <v>1+34.2193004863627i</v>
      </c>
      <c r="AN274" s="98">
        <f t="shared" si="162"/>
        <v>34.233909005195166</v>
      </c>
      <c r="AO274" s="98">
        <f t="shared" si="163"/>
        <v>1.5415813672550831</v>
      </c>
      <c r="AP274" s="168" t="str">
        <f t="shared" si="164"/>
        <v>-9.45499129892436+2.47827836326478i</v>
      </c>
      <c r="AQ274" s="98">
        <f t="shared" si="165"/>
        <v>19.801794371115477</v>
      </c>
      <c r="AR274" s="169">
        <f t="shared" si="166"/>
        <v>165.31242950299605</v>
      </c>
      <c r="AS274" s="168" t="str">
        <f t="shared" si="167"/>
        <v>0.929763017397111+4.91331752506863i</v>
      </c>
      <c r="AT274" s="190">
        <f t="shared" si="168"/>
        <v>13.980294358231109</v>
      </c>
      <c r="AU274" s="169">
        <f t="shared" si="169"/>
        <v>79.284440028608913</v>
      </c>
      <c r="AV274" s="225"/>
      <c r="AX274">
        <f t="shared" si="170"/>
        <v>0</v>
      </c>
      <c r="AY274">
        <f t="shared" si="171"/>
        <v>0</v>
      </c>
    </row>
    <row r="275" spans="14:51" x14ac:dyDescent="0.25">
      <c r="N275" s="170">
        <v>57</v>
      </c>
      <c r="O275" s="199">
        <f t="shared" si="172"/>
        <v>3715.352290971724</v>
      </c>
      <c r="P275" s="189" t="str">
        <f t="shared" ref="P275:P338" si="173">COMPLEX(Adc,0)</f>
        <v>87</v>
      </c>
      <c r="Q275" s="160" t="str">
        <f t="shared" ref="Q275:Q338" si="174">IMSUM(COMPLEX(1,0),IMDIV(COMPLEX(0,2*PI()*O275),COMPLEX(wp_lf,0)))</f>
        <v>1+175.081851942222i</v>
      </c>
      <c r="R275" s="160">
        <f t="shared" si="147"/>
        <v>175.08470772605511</v>
      </c>
      <c r="S275" s="160">
        <f t="shared" si="148"/>
        <v>1.5650847746554792</v>
      </c>
      <c r="T275" s="160" t="str">
        <f t="shared" ref="T275:T338" si="175">IMSUM(COMPLEX(1,0),IMDIV(COMPLEX(0,2*PI()*O275),COMPLEX(wz_esr,0)))</f>
        <v>1+0.116721234628148i</v>
      </c>
      <c r="U275" s="160">
        <f t="shared" si="149"/>
        <v>1.0067888788684145</v>
      </c>
      <c r="V275" s="160">
        <f t="shared" si="150"/>
        <v>0.11619546174634438</v>
      </c>
      <c r="W275" s="98" t="str">
        <f t="shared" ref="W275:W338" si="176">IMSUB(COMPLEX(1,0),IMDIV(COMPLEX(0,2*PI()*O275),COMPLEX(wz_rhp,0)))</f>
        <v>1-0.0165355082389877i</v>
      </c>
      <c r="X275" s="160">
        <f t="shared" si="151"/>
        <v>1.0001367021726189</v>
      </c>
      <c r="Y275" s="160">
        <f t="shared" si="152"/>
        <v>-1.6534001423242087E-2</v>
      </c>
      <c r="Z275" s="98" t="str">
        <f t="shared" ref="Z275:Z338" si="177">IF(Dc_Mode_Loop="CCM",IMSUM(COMPLEX(1,0),IMDIV(COMPLEX(0,2*PI()*O275),COMPLEX(Q*(wsl/2),0)),IMDIV(IMPOWER(COMPLEX(0,2*PI()*O275),2),IMPOWER(COMPLEX(wsl/2,0),2))),COMPLEX(1,0))</f>
        <v>0.999901839341184+0.0347362394253369i</v>
      </c>
      <c r="AA275" s="160">
        <f t="shared" si="153"/>
        <v>1.0005050198011489</v>
      </c>
      <c r="AB275" s="160">
        <f t="shared" si="154"/>
        <v>3.4725684499162988E-2</v>
      </c>
      <c r="AC275" s="171" t="str">
        <f t="shared" si="155"/>
        <v>0.0353007519282826-0.498844106074765i</v>
      </c>
      <c r="AD275" s="190">
        <f t="shared" si="156"/>
        <v>-6.0190092058457711</v>
      </c>
      <c r="AE275" s="169">
        <f t="shared" si="157"/>
        <v>-85.952206273823109</v>
      </c>
      <c r="AF275" s="98" t="str">
        <f t="shared" ref="AF275:AF338" si="178">COMPLEX(Adc_ea,0)</f>
        <v>-0.0000673063927557778</v>
      </c>
      <c r="AG275" s="98" t="str">
        <f t="shared" ref="AG275:AG338" si="179">COMPLEX(0,2*PI()*O275*wp0_ea)</f>
        <v>0.000235029878047238i</v>
      </c>
      <c r="AH275" s="98">
        <f t="shared" si="158"/>
        <v>2.3502987804723799E-4</v>
      </c>
      <c r="AI275" s="98">
        <f t="shared" si="159"/>
        <v>1.5707963267948966</v>
      </c>
      <c r="AJ275" s="98" t="str">
        <f t="shared" ref="AJ275:AJ338" si="180">IMSUM(COMPLEX(1,0),IMDIV(COMPLEX(0,2*PI()*O275),COMPLEX(wp1_ea,0)))</f>
        <v>1+0.236503097577892i</v>
      </c>
      <c r="AK275" s="98">
        <f t="shared" si="160"/>
        <v>1.0275863541152821</v>
      </c>
      <c r="AL275" s="98">
        <f t="shared" si="161"/>
        <v>0.23223591603399948</v>
      </c>
      <c r="AM275" s="98" t="str">
        <f t="shared" ref="AM275:AM338" si="181">IMSUM(COMPLEX(1,0),IMDIV(COMPLEX(0,2*PI()*O275),COMPLEX(wz_ea,0)))</f>
        <v>1+35.0163703884444i</v>
      </c>
      <c r="AN275" s="98">
        <f t="shared" si="162"/>
        <v>35.030646513884463</v>
      </c>
      <c r="AO275" s="98">
        <f t="shared" si="163"/>
        <v>1.5422460154010114</v>
      </c>
      <c r="AP275" s="168" t="str">
        <f t="shared" si="164"/>
        <v>-9.43244983053487+2.51717737486821i</v>
      </c>
      <c r="AQ275" s="98">
        <f t="shared" si="165"/>
        <v>19.791261287832999</v>
      </c>
      <c r="AR275" s="169">
        <f t="shared" si="166"/>
        <v>165.0580498132434</v>
      </c>
      <c r="AS275" s="168" t="str">
        <f t="shared" si="167"/>
        <v>0.922706525854073+4.79418025787794i</v>
      </c>
      <c r="AT275" s="190">
        <f t="shared" si="168"/>
        <v>13.772252081987224</v>
      </c>
      <c r="AU275" s="169">
        <f t="shared" si="169"/>
        <v>79.105843539420292</v>
      </c>
      <c r="AV275" s="225"/>
      <c r="AX275">
        <f t="shared" si="170"/>
        <v>0</v>
      </c>
      <c r="AY275">
        <f t="shared" si="171"/>
        <v>0</v>
      </c>
    </row>
    <row r="276" spans="14:51" x14ac:dyDescent="0.25">
      <c r="N276" s="170">
        <v>58</v>
      </c>
      <c r="O276" s="199">
        <f t="shared" si="172"/>
        <v>3801.8939632056172</v>
      </c>
      <c r="P276" s="189" t="str">
        <f t="shared" si="173"/>
        <v>87</v>
      </c>
      <c r="Q276" s="160" t="str">
        <f t="shared" si="174"/>
        <v>1+179.160032168013i</v>
      </c>
      <c r="R276" s="160">
        <f t="shared" ref="R276:R339" si="182">IMABS(Q276)</f>
        <v>179.1628229472941</v>
      </c>
      <c r="S276" s="160">
        <f t="shared" ref="S276:S339" si="183">IMARGUMENT(Q276)</f>
        <v>1.5652147827231926</v>
      </c>
      <c r="T276" s="160" t="str">
        <f t="shared" si="175"/>
        <v>1+0.119440021445341i</v>
      </c>
      <c r="U276" s="160">
        <f t="shared" ref="U276:U339" si="184">IMABS(T276)</f>
        <v>1.0071076996641737</v>
      </c>
      <c r="V276" s="160">
        <f t="shared" ref="V276:V339" si="185">IMARGUMENT(T276)</f>
        <v>0.11887686017136119</v>
      </c>
      <c r="W276" s="98" t="str">
        <f t="shared" si="176"/>
        <v>1-0.0169206697047567i</v>
      </c>
      <c r="X276" s="160">
        <f t="shared" ref="X276:X339" si="186">IMABS(W276)</f>
        <v>1.0001431442864854</v>
      </c>
      <c r="Y276" s="160">
        <f t="shared" ref="Y276:Y339" si="187">IMARGUMENT(W276)</f>
        <v>-1.6919055135076234E-2</v>
      </c>
      <c r="Z276" s="98" t="str">
        <f t="shared" si="177"/>
        <v>0.999897213171858+0.0355453503821336i</v>
      </c>
      <c r="AA276" s="160">
        <f t="shared" ref="AA276:AA339" si="188">IMABS(Z276)</f>
        <v>1.0005288145988784</v>
      </c>
      <c r="AB276" s="160">
        <f t="shared" ref="AB276:AB339" si="189">IMARGUMENT(Z276)</f>
        <v>3.5534040894416842E-2</v>
      </c>
      <c r="AC276" s="171" t="str">
        <f t="shared" ref="AC276:AC339" si="190">(IMDIV(IMPRODUCT(P276,T276,W276),IMPRODUCT(Q276,Z276)))</f>
        <v>0.0351697269874843-0.487587993011815i</v>
      </c>
      <c r="AD276" s="190">
        <f t="shared" ref="AD276:AD339" si="191">20*LOG(IMABS(AC276))</f>
        <v>-6.2164033204927636</v>
      </c>
      <c r="AE276" s="169">
        <f t="shared" ref="AE276:AE339" si="192">(180/PI())*IMARGUMENT(AC276)</f>
        <v>-85.874399736823634</v>
      </c>
      <c r="AF276" s="98" t="str">
        <f t="shared" si="178"/>
        <v>-0.0000673063927557778</v>
      </c>
      <c r="AG276" s="98" t="str">
        <f t="shared" si="179"/>
        <v>0.00024050442718234i</v>
      </c>
      <c r="AH276" s="98">
        <f t="shared" ref="AH276:AH339" si="193">IMABS(AG276)</f>
        <v>2.4050442718234001E-4</v>
      </c>
      <c r="AI276" s="98">
        <f t="shared" ref="AI276:AI339" si="194">IMARGUMENT(AG276)</f>
        <v>1.5707963267948966</v>
      </c>
      <c r="AJ276" s="98" t="str">
        <f t="shared" si="180"/>
        <v>1+0.242011962404148i</v>
      </c>
      <c r="AK276" s="98">
        <f t="shared" ref="AK276:AK339" si="195">IMABS(AJ276)</f>
        <v>1.0288682082495828</v>
      </c>
      <c r="AL276" s="98">
        <f t="shared" ref="AL276:AL339" si="196">IMARGUMENT(AJ276)</f>
        <v>0.23744649527554737</v>
      </c>
      <c r="AM276" s="98" t="str">
        <f t="shared" si="181"/>
        <v>1+35.8320064336024i</v>
      </c>
      <c r="AN276" s="98">
        <f t="shared" ref="AN276:AN339" si="197">IMABS(AM276)</f>
        <v>35.845957722701783</v>
      </c>
      <c r="AO276" s="98">
        <f t="shared" ref="AO276:AO339" si="198">IMARGUMENT(AM276)</f>
        <v>1.5428955586897621</v>
      </c>
      <c r="AP276" s="168" t="str">
        <f t="shared" ref="AP276:AP339" si="199">IMPRODUCT(AF276,IMDIV(AM276,IMPRODUCT(AG276,AJ276)))</f>
        <v>-9.40896092751286+2.55693620754938i</v>
      </c>
      <c r="AQ276" s="98">
        <f t="shared" ref="AQ276:AQ339" si="200">20*LOG(IMABS(AP276))</f>
        <v>19.780273611940313</v>
      </c>
      <c r="AR276" s="169">
        <f t="shared" ref="AR276:AR339" si="201">(180/PI())*IMARGUMENT(AP276)</f>
        <v>164.79672170294069</v>
      </c>
      <c r="AS276" s="168" t="str">
        <f t="shared" ref="AS276:AS339" si="202">IMPRODUCT(AC276,AP276)</f>
        <v>0.91582080664171+4.67762312331651i</v>
      </c>
      <c r="AT276" s="190">
        <f t="shared" ref="AT276:AT339" si="203">20*LOG(IMABS(AS276))</f>
        <v>13.563870291447557</v>
      </c>
      <c r="AU276" s="169">
        <f t="shared" ref="AU276:AU339" si="204">(180/PI())*IMARGUMENT(AS276)</f>
        <v>78.922321966117082</v>
      </c>
      <c r="AV276" s="225"/>
      <c r="AX276">
        <f t="shared" ref="AX276:AX339" si="205">SUM((AT277&lt;0)*(AT276&gt;0))*O276</f>
        <v>0</v>
      </c>
      <c r="AY276">
        <f t="shared" ref="AY276:AY339" si="206">IF(AX276&gt;0,AU276,0)</f>
        <v>0</v>
      </c>
    </row>
    <row r="277" spans="14:51" x14ac:dyDescent="0.25">
      <c r="N277" s="170">
        <v>59</v>
      </c>
      <c r="O277" s="199">
        <f t="shared" si="172"/>
        <v>3890.451449942811</v>
      </c>
      <c r="P277" s="189" t="str">
        <f t="shared" si="173"/>
        <v>87</v>
      </c>
      <c r="Q277" s="160" t="str">
        <f t="shared" si="174"/>
        <v>1+183.333205414322i</v>
      </c>
      <c r="R277" s="160">
        <f t="shared" si="182"/>
        <v>183.33593266866697</v>
      </c>
      <c r="S277" s="160">
        <f t="shared" si="183"/>
        <v>1.565341831628307</v>
      </c>
      <c r="T277" s="160" t="str">
        <f t="shared" si="175"/>
        <v>1+0.122222136942881i</v>
      </c>
      <c r="U277" s="160">
        <f t="shared" si="184"/>
        <v>1.0074414378805769</v>
      </c>
      <c r="V277" s="160">
        <f t="shared" si="185"/>
        <v>0.1216189392371803</v>
      </c>
      <c r="W277" s="98" t="str">
        <f t="shared" si="176"/>
        <v>1-0.0173148027335748i</v>
      </c>
      <c r="X277" s="160">
        <f t="shared" si="186"/>
        <v>1.0001498899633507</v>
      </c>
      <c r="Y277" s="160">
        <f t="shared" si="187"/>
        <v>-1.7313072704995491E-2</v>
      </c>
      <c r="Z277" s="98" t="str">
        <f t="shared" si="177"/>
        <v>0.999892368977889+0.0363733079542014i</v>
      </c>
      <c r="AA277" s="160">
        <f t="shared" si="188"/>
        <v>1.0005537302272909</v>
      </c>
      <c r="AB277" s="160">
        <f t="shared" si="189"/>
        <v>3.6361189978177839E-2</v>
      </c>
      <c r="AC277" s="171" t="str">
        <f t="shared" si="190"/>
        <v>0.0350442911581185-0.476590331152047i</v>
      </c>
      <c r="AD277" s="190">
        <f t="shared" si="191"/>
        <v>-6.4136770667964624</v>
      </c>
      <c r="AE277" s="169">
        <f t="shared" si="192"/>
        <v>-85.794537240653824</v>
      </c>
      <c r="AF277" s="98" t="str">
        <f t="shared" si="178"/>
        <v>-0.0000673063927557778</v>
      </c>
      <c r="AG277" s="98" t="str">
        <f t="shared" si="179"/>
        <v>0.000246106494948185i</v>
      </c>
      <c r="AH277" s="98">
        <f t="shared" si="193"/>
        <v>2.4610649494818498E-4</v>
      </c>
      <c r="AI277" s="98">
        <f t="shared" si="194"/>
        <v>1.5707963267948966</v>
      </c>
      <c r="AJ277" s="98" t="str">
        <f t="shared" si="180"/>
        <v>1+0.247649145176278i</v>
      </c>
      <c r="AK277" s="98">
        <f t="shared" si="195"/>
        <v>1.030208764817375</v>
      </c>
      <c r="AL277" s="98">
        <f t="shared" si="196"/>
        <v>0.24276487295449878</v>
      </c>
      <c r="AM277" s="98" t="str">
        <f t="shared" si="181"/>
        <v>1+36.6666410828643i</v>
      </c>
      <c r="AN277" s="98">
        <f t="shared" si="197"/>
        <v>36.680274921265145</v>
      </c>
      <c r="AO277" s="98">
        <f t="shared" si="198"/>
        <v>1.543530339324158</v>
      </c>
      <c r="AP277" s="168" t="str">
        <f t="shared" si="199"/>
        <v>-9.38449008563756+2.59754577690411i</v>
      </c>
      <c r="AQ277" s="98">
        <f t="shared" si="200"/>
        <v>19.768811636556592</v>
      </c>
      <c r="AR277" s="169">
        <f t="shared" si="201"/>
        <v>164.52837135934766</v>
      </c>
      <c r="AS277" s="168" t="str">
        <f t="shared" si="202"/>
        <v>0.909092399065772+4.56358638810948i</v>
      </c>
      <c r="AT277" s="190">
        <f t="shared" si="203"/>
        <v>13.355134569760136</v>
      </c>
      <c r="AU277" s="169">
        <f t="shared" si="204"/>
        <v>78.733834118693849</v>
      </c>
      <c r="AV277" s="225"/>
      <c r="AX277">
        <f t="shared" si="205"/>
        <v>0</v>
      </c>
      <c r="AY277">
        <f t="shared" si="206"/>
        <v>0</v>
      </c>
    </row>
    <row r="278" spans="14:51" x14ac:dyDescent="0.25">
      <c r="N278" s="170">
        <v>60</v>
      </c>
      <c r="O278" s="199">
        <f t="shared" si="172"/>
        <v>3981.0717055349769</v>
      </c>
      <c r="P278" s="189" t="str">
        <f t="shared" si="173"/>
        <v>87</v>
      </c>
      <c r="Q278" s="160" t="str">
        <f t="shared" si="174"/>
        <v>1+187.603584352843i</v>
      </c>
      <c r="R278" s="160">
        <f t="shared" si="182"/>
        <v>187.60624952819208</v>
      </c>
      <c r="S278" s="160">
        <f t="shared" si="183"/>
        <v>1.5654659887174183</v>
      </c>
      <c r="T278" s="160" t="str">
        <f t="shared" si="175"/>
        <v>1+0.125069056235229i</v>
      </c>
      <c r="U278" s="160">
        <f t="shared" si="184"/>
        <v>1.007790786238677</v>
      </c>
      <c r="V278" s="160">
        <f t="shared" si="185"/>
        <v>0.1244229878003765</v>
      </c>
      <c r="W278" s="98" t="str">
        <f t="shared" si="176"/>
        <v>1-0.0177181162999907i</v>
      </c>
      <c r="X278" s="160">
        <f t="shared" si="186"/>
        <v>1.0001569535054087</v>
      </c>
      <c r="Y278" s="160">
        <f t="shared" si="187"/>
        <v>-1.7716262556680636E-2</v>
      </c>
      <c r="Z278" s="98" t="str">
        <f t="shared" si="177"/>
        <v>0.999887296484092+0.037220551135604i</v>
      </c>
      <c r="AA278" s="160">
        <f t="shared" si="188"/>
        <v>1.0005798194532531</v>
      </c>
      <c r="AB278" s="160">
        <f t="shared" si="189"/>
        <v>3.720756689245372E-2</v>
      </c>
      <c r="AC278" s="171" t="str">
        <f t="shared" si="190"/>
        <v>0.0349241784692133-0.465845292941507i</v>
      </c>
      <c r="AD278" s="190">
        <f t="shared" si="191"/>
        <v>-6.6108249218631983</v>
      </c>
      <c r="AE278" s="169">
        <f t="shared" si="192"/>
        <v>-85.712585671545057</v>
      </c>
      <c r="AF278" s="98" t="str">
        <f t="shared" si="178"/>
        <v>-0.0000673063927557778</v>
      </c>
      <c r="AG278" s="98" t="str">
        <f t="shared" si="179"/>
        <v>0.000251839051635257i</v>
      </c>
      <c r="AH278" s="98">
        <f t="shared" si="193"/>
        <v>2.5183905163525701E-4</v>
      </c>
      <c r="AI278" s="98">
        <f t="shared" si="194"/>
        <v>1.5707963267948966</v>
      </c>
      <c r="AJ278" s="98" t="str">
        <f t="shared" si="180"/>
        <v>1+0.253417634803204i</v>
      </c>
      <c r="AK278" s="98">
        <f t="shared" si="195"/>
        <v>1.031610632762793</v>
      </c>
      <c r="AL278" s="98">
        <f t="shared" si="196"/>
        <v>0.24819266497553713</v>
      </c>
      <c r="AM278" s="98" t="str">
        <f t="shared" si="181"/>
        <v>1+37.5207168705685i</v>
      </c>
      <c r="AN278" s="98">
        <f t="shared" si="197"/>
        <v>37.534040476364432</v>
      </c>
      <c r="AO278" s="98">
        <f t="shared" si="198"/>
        <v>1.544150691825861</v>
      </c>
      <c r="AP278" s="168" t="str">
        <f t="shared" si="199"/>
        <v>-9.35900202527757+2.63899571190409i</v>
      </c>
      <c r="AQ278" s="98">
        <f t="shared" si="200"/>
        <v>19.756854969243143</v>
      </c>
      <c r="AR278" s="169">
        <f t="shared" si="201"/>
        <v>164.25292536462538</v>
      </c>
      <c r="AS278" s="168" t="str">
        <f t="shared" si="202"/>
        <v>0.902508273458819+4.45201179732761i</v>
      </c>
      <c r="AT278" s="190">
        <f t="shared" si="203"/>
        <v>13.146030047379938</v>
      </c>
      <c r="AU278" s="169">
        <f t="shared" si="204"/>
        <v>78.540339693080327</v>
      </c>
      <c r="AV278" s="225"/>
      <c r="AX278">
        <f t="shared" si="205"/>
        <v>0</v>
      </c>
      <c r="AY278">
        <f t="shared" si="206"/>
        <v>0</v>
      </c>
    </row>
    <row r="279" spans="14:51" x14ac:dyDescent="0.25">
      <c r="N279" s="170">
        <v>61</v>
      </c>
      <c r="O279" s="199">
        <f t="shared" si="172"/>
        <v>4073.8027780411317</v>
      </c>
      <c r="P279" s="189" t="str">
        <f t="shared" si="173"/>
        <v>87</v>
      </c>
      <c r="Q279" s="160" t="str">
        <f t="shared" si="174"/>
        <v>1+191.973433195016i</v>
      </c>
      <c r="R279" s="160">
        <f t="shared" si="182"/>
        <v>191.97603770440017</v>
      </c>
      <c r="S279" s="160">
        <f t="shared" si="183"/>
        <v>1.5655873198049388</v>
      </c>
      <c r="T279" s="160" t="str">
        <f t="shared" si="175"/>
        <v>1+0.127982288796677i</v>
      </c>
      <c r="U279" s="160">
        <f t="shared" si="184"/>
        <v>1.0081564691284959</v>
      </c>
      <c r="V279" s="160">
        <f t="shared" si="185"/>
        <v>0.12729031613134431</v>
      </c>
      <c r="W279" s="98" t="str">
        <f t="shared" si="176"/>
        <v>1-0.0181308242461959i</v>
      </c>
      <c r="X279" s="160">
        <f t="shared" si="186"/>
        <v>1.0001643498884802</v>
      </c>
      <c r="Y279" s="160">
        <f t="shared" si="187"/>
        <v>-1.8128837942080187E-2</v>
      </c>
      <c r="Z279" s="98" t="str">
        <f t="shared" si="177"/>
        <v>0.999881984931027+0.0380875291458911i</v>
      </c>
      <c r="AA279" s="160">
        <f t="shared" si="188"/>
        <v>1.0006071375250374</v>
      </c>
      <c r="AB279" s="160">
        <f t="shared" si="189"/>
        <v>3.8073616729820528E-2</v>
      </c>
      <c r="AC279" s="171" t="str">
        <f t="shared" si="190"/>
        <v>0.0348091342413464-0.455347184432766i</v>
      </c>
      <c r="AD279" s="190">
        <f t="shared" si="191"/>
        <v>-6.8078411203203695</v>
      </c>
      <c r="AE279" s="169">
        <f t="shared" si="192"/>
        <v>-85.628511447784462</v>
      </c>
      <c r="AF279" s="98" t="str">
        <f t="shared" si="178"/>
        <v>-0.0000673063927557778</v>
      </c>
      <c r="AG279" s="98" t="str">
        <f t="shared" si="179"/>
        <v>0.000257705136720989i</v>
      </c>
      <c r="AH279" s="98">
        <f t="shared" si="193"/>
        <v>2.5770513672098902E-4</v>
      </c>
      <c r="AI279" s="98">
        <f t="shared" si="194"/>
        <v>1.5707963267948966</v>
      </c>
      <c r="AJ279" s="98" t="str">
        <f t="shared" si="180"/>
        <v>1+0.259320489814483i</v>
      </c>
      <c r="AK279" s="98">
        <f t="shared" si="195"/>
        <v>1.0330765298067821</v>
      </c>
      <c r="AL279" s="98">
        <f t="shared" si="196"/>
        <v>0.253731469417245</v>
      </c>
      <c r="AM279" s="98" t="str">
        <f t="shared" si="181"/>
        <v>1+38.3946866390031i</v>
      </c>
      <c r="AN279" s="98">
        <f t="shared" si="197"/>
        <v>38.407707066515215</v>
      </c>
      <c r="AO279" s="98">
        <f t="shared" si="198"/>
        <v>1.5447569432030079</v>
      </c>
      <c r="AP279" s="168" t="str">
        <f t="shared" si="199"/>
        <v>-9.33246071996882+2.68127426942915i</v>
      </c>
      <c r="AQ279" s="98">
        <f t="shared" si="200"/>
        <v>19.744382516034914</v>
      </c>
      <c r="AR279" s="169">
        <f t="shared" si="201"/>
        <v>163.97031089180172</v>
      </c>
      <c r="AS279" s="168" t="str">
        <f t="shared" si="202"/>
        <v>0.896055811273098+4.34284254864961i</v>
      </c>
      <c r="AT279" s="190">
        <f t="shared" si="203"/>
        <v>12.936541395714535</v>
      </c>
      <c r="AU279" s="169">
        <f t="shared" si="204"/>
        <v>78.341799444017269</v>
      </c>
      <c r="AV279" s="225"/>
      <c r="AX279">
        <f t="shared" si="205"/>
        <v>0</v>
      </c>
      <c r="AY279">
        <f t="shared" si="206"/>
        <v>0</v>
      </c>
    </row>
    <row r="280" spans="14:51" x14ac:dyDescent="0.25">
      <c r="N280" s="170">
        <v>62</v>
      </c>
      <c r="O280" s="199">
        <f t="shared" si="172"/>
        <v>4168.6938347033583</v>
      </c>
      <c r="P280" s="189" t="str">
        <f t="shared" si="173"/>
        <v>87</v>
      </c>
      <c r="Q280" s="160" t="str">
        <f t="shared" si="174"/>
        <v>1+196.445068892538i</v>
      </c>
      <c r="R280" s="160">
        <f t="shared" si="182"/>
        <v>196.44761411682759</v>
      </c>
      <c r="S280" s="160">
        <f t="shared" si="183"/>
        <v>1.5657058892079199</v>
      </c>
      <c r="T280" s="160" t="str">
        <f t="shared" si="175"/>
        <v>1+0.130963379261691i</v>
      </c>
      <c r="U280" s="160">
        <f t="shared" si="184"/>
        <v>1.0085392440096923</v>
      </c>
      <c r="V280" s="160">
        <f t="shared" si="185"/>
        <v>0.13022225583336722</v>
      </c>
      <c r="W280" s="98" t="str">
        <f t="shared" si="176"/>
        <v>1-0.0185531453954063i</v>
      </c>
      <c r="X280" s="160">
        <f t="shared" si="186"/>
        <v>1.0001720947937225</v>
      </c>
      <c r="Y280" s="160">
        <f t="shared" si="187"/>
        <v>-1.855101705197873E-2</v>
      </c>
      <c r="Z280" s="98" t="str">
        <f t="shared" si="177"/>
        <v>0.999876423052178+0.0389747016682794i</v>
      </c>
      <c r="AA280" s="160">
        <f t="shared" si="188"/>
        <v>1.000635742288746</v>
      </c>
      <c r="AB280" s="160">
        <f t="shared" si="189"/>
        <v>3.8959794752012146E-2</v>
      </c>
      <c r="AC280" s="171" t="str">
        <f t="shared" si="190"/>
        <v>0.0346989145472465-0.445090442281301i</v>
      </c>
      <c r="AD280" s="190">
        <f t="shared" si="191"/>
        <v>-7.0047196443809225</v>
      </c>
      <c r="AE280" s="169">
        <f t="shared" si="192"/>
        <v>-85.542280545206509</v>
      </c>
      <c r="AF280" s="98" t="str">
        <f t="shared" si="178"/>
        <v>-0.0000673063927557778</v>
      </c>
      <c r="AG280" s="98" t="str">
        <f t="shared" si="179"/>
        <v>0.000263707860481342i</v>
      </c>
      <c r="AH280" s="98">
        <f t="shared" si="193"/>
        <v>2.6370786048134201E-4</v>
      </c>
      <c r="AI280" s="98">
        <f t="shared" si="194"/>
        <v>1.5707963267948966</v>
      </c>
      <c r="AJ280" s="98" t="str">
        <f t="shared" si="180"/>
        <v>1+0.265360839981973i</v>
      </c>
      <c r="AK280" s="98">
        <f t="shared" si="195"/>
        <v>1.0346092863472367</v>
      </c>
      <c r="AL280" s="98">
        <f t="shared" si="196"/>
        <v>0.25938286308350883</v>
      </c>
      <c r="AM280" s="98" t="str">
        <f t="shared" si="181"/>
        <v>1+39.2890137785074i</v>
      </c>
      <c r="AN280" s="98">
        <f t="shared" si="197"/>
        <v>39.301737921976738</v>
      </c>
      <c r="AO280" s="98">
        <f t="shared" si="198"/>
        <v>1.5453494131145058</v>
      </c>
      <c r="AP280" s="168" t="str">
        <f t="shared" si="199"/>
        <v>-9.30482943048209+2.72436824669066i</v>
      </c>
      <c r="AQ280" s="98">
        <f t="shared" si="200"/>
        <v>19.731372466129542</v>
      </c>
      <c r="AR280" s="169">
        <f t="shared" si="201"/>
        <v>163.68045591177517</v>
      </c>
      <c r="AS280" s="168" t="str">
        <f t="shared" si="202"/>
        <v>0.889722786571676+4.23602326755249i</v>
      </c>
      <c r="AT280" s="190">
        <f t="shared" si="203"/>
        <v>12.726652821748615</v>
      </c>
      <c r="AU280" s="169">
        <f t="shared" si="204"/>
        <v>78.138175366568674</v>
      </c>
      <c r="AV280" s="225"/>
      <c r="AX280">
        <f t="shared" si="205"/>
        <v>0</v>
      </c>
      <c r="AY280">
        <f t="shared" si="206"/>
        <v>0</v>
      </c>
    </row>
    <row r="281" spans="14:51" x14ac:dyDescent="0.25">
      <c r="N281" s="170">
        <v>63</v>
      </c>
      <c r="O281" s="199">
        <f t="shared" si="172"/>
        <v>4265.7951880159299</v>
      </c>
      <c r="P281" s="189" t="str">
        <f t="shared" si="173"/>
        <v>87</v>
      </c>
      <c r="Q281" s="160" t="str">
        <f t="shared" si="174"/>
        <v>1+201.020862365844i</v>
      </c>
      <c r="R281" s="160">
        <f t="shared" si="182"/>
        <v>201.02334965448068</v>
      </c>
      <c r="S281" s="160">
        <f t="shared" si="183"/>
        <v>1.5658217597800852</v>
      </c>
      <c r="T281" s="160" t="str">
        <f t="shared" si="175"/>
        <v>1+0.134013908243896i</v>
      </c>
      <c r="U281" s="160">
        <f t="shared" si="184"/>
        <v>1.0089399028697414</v>
      </c>
      <c r="V281" s="160">
        <f t="shared" si="185"/>
        <v>0.13322015972255005</v>
      </c>
      <c r="W281" s="98" t="str">
        <f t="shared" si="176"/>
        <v>1-0.0189853036678852i</v>
      </c>
      <c r="X281" s="160">
        <f t="shared" si="186"/>
        <v>1.0001802046408246</v>
      </c>
      <c r="Y281" s="160">
        <f t="shared" si="187"/>
        <v>-1.8983023129005707E-2</v>
      </c>
      <c r="Z281" s="98" t="str">
        <f t="shared" si="177"/>
        <v>0.999870599050054+0.0398825390933833i</v>
      </c>
      <c r="AA281" s="160">
        <f t="shared" si="188"/>
        <v>1.0006656943101673</v>
      </c>
      <c r="AB281" s="160">
        <f t="shared" si="189"/>
        <v>3.9866566612667034E-2</v>
      </c>
      <c r="AC281" s="171" t="str">
        <f t="shared" si="190"/>
        <v>0.0345932856952105-0.435069630809578i</v>
      </c>
      <c r="AD281" s="190">
        <f t="shared" si="191"/>
        <v>-7.2014542135830437</v>
      </c>
      <c r="AE281" s="169">
        <f t="shared" si="192"/>
        <v>-85.453858525259761</v>
      </c>
      <c r="AF281" s="98" t="str">
        <f t="shared" si="178"/>
        <v>-0.0000673063927557778</v>
      </c>
      <c r="AG281" s="98" t="str">
        <f t="shared" si="179"/>
        <v>0.000269850405639908i</v>
      </c>
      <c r="AH281" s="98">
        <f t="shared" si="193"/>
        <v>2.6985040563990797E-4</v>
      </c>
      <c r="AI281" s="98">
        <f t="shared" si="194"/>
        <v>1.5707963267948966</v>
      </c>
      <c r="AJ281" s="98" t="str">
        <f t="shared" si="180"/>
        <v>1+0.271541887979288i</v>
      </c>
      <c r="AK281" s="98">
        <f t="shared" si="195"/>
        <v>1.0362118494436146</v>
      </c>
      <c r="AL281" s="98">
        <f t="shared" si="196"/>
        <v>0.26514839785425309</v>
      </c>
      <c r="AM281" s="98" t="str">
        <f t="shared" si="181"/>
        <v>1+40.2041724731686i</v>
      </c>
      <c r="AN281" s="98">
        <f t="shared" si="197"/>
        <v>40.216607070366933</v>
      </c>
      <c r="AO281" s="98">
        <f t="shared" si="198"/>
        <v>1.5459284140310383</v>
      </c>
      <c r="AP281" s="168" t="str">
        <f t="shared" si="199"/>
        <v>-9.27607074478909+2.76826289177288i</v>
      </c>
      <c r="AQ281" s="98">
        <f t="shared" si="200"/>
        <v>19.717802277348486</v>
      </c>
      <c r="AR281" s="169">
        <f t="shared" si="201"/>
        <v>163.38328941162706</v>
      </c>
      <c r="AS281" s="168" t="str">
        <f t="shared" si="202"/>
        <v>0.883497348904009+4.13149998339347i</v>
      </c>
      <c r="AT281" s="190">
        <f t="shared" si="203"/>
        <v>12.516348063765451</v>
      </c>
      <c r="AU281" s="169">
        <f t="shared" si="204"/>
        <v>77.929430886367328</v>
      </c>
      <c r="AV281" s="225"/>
      <c r="AX281">
        <f t="shared" si="205"/>
        <v>0</v>
      </c>
      <c r="AY281">
        <f t="shared" si="206"/>
        <v>0</v>
      </c>
    </row>
    <row r="282" spans="14:51" x14ac:dyDescent="0.25">
      <c r="N282" s="170">
        <v>64</v>
      </c>
      <c r="O282" s="199">
        <f t="shared" si="172"/>
        <v>4365.1583224016631</v>
      </c>
      <c r="P282" s="189" t="str">
        <f t="shared" si="173"/>
        <v>87</v>
      </c>
      <c r="Q282" s="160" t="str">
        <f t="shared" si="174"/>
        <v>1+205.703239761202i</v>
      </c>
      <c r="R282" s="160">
        <f t="shared" si="182"/>
        <v>205.70567043291382</v>
      </c>
      <c r="S282" s="160">
        <f t="shared" si="183"/>
        <v>1.5659349929450934</v>
      </c>
      <c r="T282" s="160" t="str">
        <f t="shared" si="175"/>
        <v>1+0.137135493174134i</v>
      </c>
      <c r="U282" s="160">
        <f t="shared" si="184"/>
        <v>1.0093592737415717</v>
      </c>
      <c r="V282" s="160">
        <f t="shared" si="185"/>
        <v>0.13628540166551975</v>
      </c>
      <c r="W282" s="98" t="str">
        <f t="shared" si="176"/>
        <v>1-0.019427528199669i</v>
      </c>
      <c r="X282" s="160">
        <f t="shared" si="186"/>
        <v>1.0001886966227667</v>
      </c>
      <c r="Y282" s="160">
        <f t="shared" si="187"/>
        <v>-1.9425084583131764E-2</v>
      </c>
      <c r="Z282" s="98" t="str">
        <f t="shared" si="177"/>
        <v>0.999864500571167+0.0408115227686223i</v>
      </c>
      <c r="AA282" s="160">
        <f t="shared" si="188"/>
        <v>1.0006970570023292</v>
      </c>
      <c r="AB282" s="160">
        <f t="shared" si="189"/>
        <v>4.0794408584260297E-2</v>
      </c>
      <c r="AC282" s="171" t="str">
        <f t="shared" si="190"/>
        <v>0.0344920237342475-0.425279439137335i</v>
      </c>
      <c r="AD282" s="190">
        <f t="shared" si="191"/>
        <v>-7.3980382742024444</v>
      </c>
      <c r="AE282" s="169">
        <f t="shared" si="192"/>
        <v>-85.363210565831153</v>
      </c>
      <c r="AF282" s="98" t="str">
        <f t="shared" si="178"/>
        <v>-0.0000673063927557778</v>
      </c>
      <c r="AG282" s="98" t="str">
        <f t="shared" si="179"/>
        <v>0.000276136029055436i</v>
      </c>
      <c r="AH282" s="98">
        <f t="shared" si="193"/>
        <v>2.7613602905543602E-4</v>
      </c>
      <c r="AI282" s="98">
        <f t="shared" si="194"/>
        <v>1.5707963267948966</v>
      </c>
      <c r="AJ282" s="98" t="str">
        <f t="shared" si="180"/>
        <v>1+0.27786691107989i</v>
      </c>
      <c r="AK282" s="98">
        <f t="shared" si="195"/>
        <v>1.0378872868828675</v>
      </c>
      <c r="AL282" s="98">
        <f t="shared" si="196"/>
        <v>0.2710295968313326</v>
      </c>
      <c r="AM282" s="98" t="str">
        <f t="shared" si="181"/>
        <v>1+41.1406479522402i</v>
      </c>
      <c r="AN282" s="98">
        <f t="shared" si="197"/>
        <v>41.152799588000882</v>
      </c>
      <c r="AO282" s="98">
        <f t="shared" si="198"/>
        <v>1.5464942513928217</v>
      </c>
      <c r="AP282" s="168" t="str">
        <f t="shared" si="199"/>
        <v>-9.24614662434084+2.81294181255913i</v>
      </c>
      <c r="AQ282" s="98">
        <f t="shared" si="200"/>
        <v>19.703648662490412</v>
      </c>
      <c r="AR282" s="169">
        <f t="shared" si="201"/>
        <v>163.07874162448473</v>
      </c>
      <c r="AS282" s="168" t="str">
        <f t="shared" si="202"/>
        <v>0.877368007554009+4.02922010634308i</v>
      </c>
      <c r="AT282" s="190">
        <f t="shared" si="203"/>
        <v>12.305610388287961</v>
      </c>
      <c r="AU282" s="169">
        <f t="shared" si="204"/>
        <v>77.715531058653582</v>
      </c>
      <c r="AV282" s="225"/>
      <c r="AX282">
        <f t="shared" si="205"/>
        <v>0</v>
      </c>
      <c r="AY282">
        <f t="shared" si="206"/>
        <v>0</v>
      </c>
    </row>
    <row r="283" spans="14:51" x14ac:dyDescent="0.25">
      <c r="N283" s="170">
        <v>65</v>
      </c>
      <c r="O283" s="199">
        <f t="shared" si="172"/>
        <v>4466.8359215096343</v>
      </c>
      <c r="P283" s="189" t="str">
        <f t="shared" si="173"/>
        <v>87</v>
      </c>
      <c r="Q283" s="160" t="str">
        <f t="shared" si="174"/>
        <v>1+210.494683737085i</v>
      </c>
      <c r="R283" s="160">
        <f t="shared" si="182"/>
        <v>210.49705908058539</v>
      </c>
      <c r="S283" s="160">
        <f t="shared" si="183"/>
        <v>1.5660456487290457</v>
      </c>
      <c r="T283" s="160" t="str">
        <f t="shared" si="175"/>
        <v>1+0.140329789158056i</v>
      </c>
      <c r="U283" s="160">
        <f t="shared" si="184"/>
        <v>1.0097982222826225</v>
      </c>
      <c r="V283" s="160">
        <f t="shared" si="185"/>
        <v>0.13941937637164709</v>
      </c>
      <c r="W283" s="98" t="str">
        <f t="shared" si="176"/>
        <v>1-0.019880053464058i</v>
      </c>
      <c r="X283" s="160">
        <f t="shared" si="186"/>
        <v>1.0001975887422114</v>
      </c>
      <c r="Y283" s="160">
        <f t="shared" si="187"/>
        <v>-1.987743510969962E-2</v>
      </c>
      <c r="Z283" s="98" t="str">
        <f t="shared" si="177"/>
        <v>0.999858114679824+0.0417621452534376i</v>
      </c>
      <c r="AA283" s="160">
        <f t="shared" si="188"/>
        <v>1.0007298967589913</v>
      </c>
      <c r="AB283" s="160">
        <f t="shared" si="189"/>
        <v>4.1743807789248751E-2</v>
      </c>
      <c r="AC283" s="171" t="str">
        <f t="shared" si="190"/>
        <v>0.0343949139799126-0.415714678376675i</v>
      </c>
      <c r="AD283" s="190">
        <f t="shared" si="191"/>
        <v>-7.5944649883336375</v>
      </c>
      <c r="AE283" s="169">
        <f t="shared" si="192"/>
        <v>-85.270301495020291</v>
      </c>
      <c r="AF283" s="98" t="str">
        <f t="shared" si="178"/>
        <v>-0.0000673063927557778</v>
      </c>
      <c r="AG283" s="98" t="str">
        <f t="shared" si="179"/>
        <v>0.000282568063448663i</v>
      </c>
      <c r="AH283" s="98">
        <f t="shared" si="193"/>
        <v>2.8256806344866301E-4</v>
      </c>
      <c r="AI283" s="98">
        <f t="shared" si="194"/>
        <v>1.5707963267948966</v>
      </c>
      <c r="AJ283" s="98" t="str">
        <f t="shared" si="180"/>
        <v>1+0.284339262894751i</v>
      </c>
      <c r="AK283" s="98">
        <f t="shared" si="195"/>
        <v>1.0396387913229914</v>
      </c>
      <c r="AL283" s="98">
        <f t="shared" si="196"/>
        <v>0.27702795027614302</v>
      </c>
      <c r="AM283" s="98" t="str">
        <f t="shared" si="181"/>
        <v>1+42.0989367474169i</v>
      </c>
      <c r="AN283" s="98">
        <f t="shared" si="197"/>
        <v>42.110811857087356</v>
      </c>
      <c r="AO283" s="98">
        <f t="shared" si="198"/>
        <v>1.5470472237641633</v>
      </c>
      <c r="AP283" s="168" t="str">
        <f t="shared" si="199"/>
        <v>-9.21501845707827+2.85838688435602i</v>
      </c>
      <c r="AQ283" s="98">
        <f t="shared" si="200"/>
        <v>19.688887576706975</v>
      </c>
      <c r="AR283" s="169">
        <f t="shared" si="201"/>
        <v>162.76674427113454</v>
      </c>
      <c r="AS283" s="168" t="str">
        <f t="shared" si="202"/>
        <v>0.871323617151655+3.92913240512815i</v>
      </c>
      <c r="AT283" s="190">
        <f t="shared" si="203"/>
        <v>12.094422588373332</v>
      </c>
      <c r="AU283" s="169">
        <f t="shared" si="204"/>
        <v>77.49644277611425</v>
      </c>
      <c r="AV283" s="225"/>
      <c r="AX283">
        <f t="shared" si="205"/>
        <v>0</v>
      </c>
      <c r="AY283">
        <f t="shared" si="206"/>
        <v>0</v>
      </c>
    </row>
    <row r="284" spans="14:51" x14ac:dyDescent="0.25">
      <c r="N284" s="170">
        <v>66</v>
      </c>
      <c r="O284" s="199">
        <f t="shared" ref="O284:O318" si="207">10^(3+(N284/100))</f>
        <v>4570.8818961487532</v>
      </c>
      <c r="P284" s="189" t="str">
        <f t="shared" si="173"/>
        <v>87</v>
      </c>
      <c r="Q284" s="160" t="str">
        <f t="shared" si="174"/>
        <v>1+215.397734780513i</v>
      </c>
      <c r="R284" s="160">
        <f t="shared" si="182"/>
        <v>215.40005605518357</v>
      </c>
      <c r="S284" s="160">
        <f t="shared" si="183"/>
        <v>1.5661537857922578</v>
      </c>
      <c r="T284" s="160" t="str">
        <f t="shared" si="175"/>
        <v>1+0.143598489853675i</v>
      </c>
      <c r="U284" s="160">
        <f t="shared" si="184"/>
        <v>1.0102576534173131</v>
      </c>
      <c r="V284" s="160">
        <f t="shared" si="185"/>
        <v>0.14262349913631919</v>
      </c>
      <c r="W284" s="98" t="str">
        <f t="shared" si="176"/>
        <v>1-0.0203431193959373i</v>
      </c>
      <c r="X284" s="160">
        <f t="shared" si="186"/>
        <v>1.0002068998496048</v>
      </c>
      <c r="Y284" s="160">
        <f t="shared" si="187"/>
        <v>-2.0340313810038087E-2</v>
      </c>
      <c r="Z284" s="98" t="str">
        <f t="shared" si="177"/>
        <v>0.999851427830695+0.0427349105804537i</v>
      </c>
      <c r="AA284" s="160">
        <f t="shared" si="188"/>
        <v>1.0007642830943755</v>
      </c>
      <c r="AB284" s="160">
        <f t="shared" si="189"/>
        <v>4.2715262435450894E-2</v>
      </c>
      <c r="AC284" s="171" t="str">
        <f t="shared" si="190"/>
        <v>0.0343017505598265-0.406370278890432i</v>
      </c>
      <c r="AD284" s="190">
        <f t="shared" si="191"/>
        <v>-7.7907272226411841</v>
      </c>
      <c r="AE284" s="169">
        <f t="shared" si="192"/>
        <v>-85.175095828065409</v>
      </c>
      <c r="AF284" s="98" t="str">
        <f t="shared" si="178"/>
        <v>-0.0000673063927557778</v>
      </c>
      <c r="AG284" s="98" t="str">
        <f t="shared" si="179"/>
        <v>0.00028914991916936i</v>
      </c>
      <c r="AH284" s="98">
        <f t="shared" si="193"/>
        <v>2.8914991916935998E-4</v>
      </c>
      <c r="AI284" s="98">
        <f t="shared" si="194"/>
        <v>1.5707963267948966</v>
      </c>
      <c r="AJ284" s="98" t="str">
        <f t="shared" si="180"/>
        <v>1+0.290962375150474i</v>
      </c>
      <c r="AK284" s="98">
        <f t="shared" si="195"/>
        <v>1.0414696845099263</v>
      </c>
      <c r="AL284" s="98">
        <f t="shared" si="196"/>
        <v>0.2831449113362306</v>
      </c>
      <c r="AM284" s="98" t="str">
        <f t="shared" si="181"/>
        <v>1+43.0795469561025i</v>
      </c>
      <c r="AN284" s="98">
        <f t="shared" si="197"/>
        <v>43.091151828920047</v>
      </c>
      <c r="AO284" s="98">
        <f t="shared" si="198"/>
        <v>1.547587622984862</v>
      </c>
      <c r="AP284" s="168" t="str">
        <f t="shared" si="199"/>
        <v>-9.18264711759645+2.9045781565766i</v>
      </c>
      <c r="AQ284" s="98">
        <f t="shared" si="200"/>
        <v>19.673494206039869</v>
      </c>
      <c r="AR284" s="169">
        <f t="shared" si="201"/>
        <v>162.44723081354397</v>
      </c>
      <c r="AS284" s="168" t="str">
        <f t="shared" si="202"/>
        <v>0.865353364640387+3.8311869855385i</v>
      </c>
      <c r="AT284" s="190">
        <f t="shared" si="203"/>
        <v>11.882766983398682</v>
      </c>
      <c r="AU284" s="169">
        <f t="shared" si="204"/>
        <v>77.272134985478559</v>
      </c>
      <c r="AV284" s="225"/>
      <c r="AX284">
        <f t="shared" si="205"/>
        <v>0</v>
      </c>
      <c r="AY284">
        <f t="shared" si="206"/>
        <v>0</v>
      </c>
    </row>
    <row r="285" spans="14:51" x14ac:dyDescent="0.25">
      <c r="N285" s="170">
        <v>67</v>
      </c>
      <c r="O285" s="199">
        <f t="shared" si="207"/>
        <v>4677.3514128719844</v>
      </c>
      <c r="P285" s="189" t="str">
        <f t="shared" si="173"/>
        <v>87</v>
      </c>
      <c r="Q285" s="160" t="str">
        <f t="shared" si="174"/>
        <v>1+220.414992554047i</v>
      </c>
      <c r="R285" s="160">
        <f t="shared" si="182"/>
        <v>220.41726099060526</v>
      </c>
      <c r="S285" s="160">
        <f t="shared" si="183"/>
        <v>1.5662594614603103</v>
      </c>
      <c r="T285" s="160" t="str">
        <f t="shared" si="175"/>
        <v>1+0.146943328369364i</v>
      </c>
      <c r="U285" s="160">
        <f t="shared" si="184"/>
        <v>1.0107385130449253</v>
      </c>
      <c r="V285" s="160">
        <f t="shared" si="185"/>
        <v>0.14589920553165395</v>
      </c>
      <c r="W285" s="98" t="str">
        <f t="shared" si="176"/>
        <v>1-0.0208169715189933i</v>
      </c>
      <c r="X285" s="160">
        <f t="shared" si="186"/>
        <v>1.0002166496830687</v>
      </c>
      <c r="Y285" s="160">
        <f t="shared" si="187"/>
        <v>-2.081396531470709E-2</v>
      </c>
      <c r="Z285" s="98" t="str">
        <f t="shared" si="177"/>
        <v>0.999844425840075+0.0437303345227229i</v>
      </c>
      <c r="AA285" s="160">
        <f t="shared" si="188"/>
        <v>1.0008002887893959</v>
      </c>
      <c r="AB285" s="160">
        <f t="shared" si="189"/>
        <v>4.3709282055680136E-2</v>
      </c>
      <c r="AC285" s="171" t="str">
        <f t="shared" si="190"/>
        <v>0.0342123359779215-0.397241287612511i</v>
      </c>
      <c r="AD285" s="190">
        <f t="shared" si="191"/>
        <v>-7.9868175367788341</v>
      </c>
      <c r="AE285" s="169">
        <f t="shared" si="192"/>
        <v>-85.077557807635287</v>
      </c>
      <c r="AF285" s="98" t="str">
        <f t="shared" si="178"/>
        <v>-0.0000673063927557778</v>
      </c>
      <c r="AG285" s="98" t="str">
        <f t="shared" si="179"/>
        <v>0.000295885086004553i</v>
      </c>
      <c r="AH285" s="98">
        <f t="shared" si="193"/>
        <v>2.95885086004553E-4</v>
      </c>
      <c r="AI285" s="98">
        <f t="shared" si="194"/>
        <v>1.5707963267948966</v>
      </c>
      <c r="AJ285" s="98" t="str">
        <f t="shared" si="180"/>
        <v>1+0.297739759508843i</v>
      </c>
      <c r="AK285" s="98">
        <f t="shared" si="195"/>
        <v>1.0433834215629381</v>
      </c>
      <c r="AL285" s="98">
        <f t="shared" si="196"/>
        <v>0.28938189155913202</v>
      </c>
      <c r="AM285" s="98" t="str">
        <f t="shared" si="181"/>
        <v>1+44.0829985108093i</v>
      </c>
      <c r="AN285" s="98">
        <f t="shared" si="197"/>
        <v>44.094339293201962</v>
      </c>
      <c r="AO285" s="98">
        <f t="shared" si="198"/>
        <v>1.5481157343185066</v>
      </c>
      <c r="AP285" s="168" t="str">
        <f t="shared" si="199"/>
        <v>-9.14899303487892+2.95149375889482i</v>
      </c>
      <c r="AQ285" s="98">
        <f t="shared" si="200"/>
        <v>19.657442957264454</v>
      </c>
      <c r="AR285" s="169">
        <f t="shared" si="201"/>
        <v>162.12013672039595</v>
      </c>
      <c r="AS285" s="168" t="str">
        <f t="shared" si="202"/>
        <v>0.859446757594727+3.73533526964924i</v>
      </c>
      <c r="AT285" s="190">
        <f t="shared" si="203"/>
        <v>11.670625420485607</v>
      </c>
      <c r="AU285" s="169">
        <f t="shared" si="204"/>
        <v>77.042578912760675</v>
      </c>
      <c r="AV285" s="225"/>
      <c r="AX285">
        <f t="shared" si="205"/>
        <v>0</v>
      </c>
      <c r="AY285">
        <f t="shared" si="206"/>
        <v>0</v>
      </c>
    </row>
    <row r="286" spans="14:51" x14ac:dyDescent="0.25">
      <c r="N286" s="170">
        <v>68</v>
      </c>
      <c r="O286" s="199">
        <f t="shared" si="207"/>
        <v>4786.3009232263848</v>
      </c>
      <c r="P286" s="189" t="str">
        <f t="shared" si="173"/>
        <v>87</v>
      </c>
      <c r="Q286" s="160" t="str">
        <f t="shared" si="174"/>
        <v>1+225.549117274171i</v>
      </c>
      <c r="R286" s="160">
        <f t="shared" si="182"/>
        <v>225.55133407532256</v>
      </c>
      <c r="S286" s="160">
        <f t="shared" si="183"/>
        <v>1.5663627317543944</v>
      </c>
      <c r="T286" s="160" t="str">
        <f t="shared" si="175"/>
        <v>1+0.15036607818278i</v>
      </c>
      <c r="U286" s="160">
        <f t="shared" si="184"/>
        <v>1.0112417898149135</v>
      </c>
      <c r="V286" s="160">
        <f t="shared" si="185"/>
        <v>0.14924795104084543</v>
      </c>
      <c r="W286" s="98" t="str">
        <f t="shared" si="176"/>
        <v>1-0.0213018610758939i</v>
      </c>
      <c r="X286" s="160">
        <f t="shared" si="186"/>
        <v>1.0002268589101657</v>
      </c>
      <c r="Y286" s="160">
        <f t="shared" si="187"/>
        <v>-2.1298639909422976E-2</v>
      </c>
      <c r="Z286" s="98" t="str">
        <f t="shared" si="177"/>
        <v>0.999837093855803+0.0447489448671955i</v>
      </c>
      <c r="AA286" s="160">
        <f t="shared" si="188"/>
        <v>1.0008379900447149</v>
      </c>
      <c r="AB286" s="160">
        <f t="shared" si="189"/>
        <v>4.4726387751643649E-2</v>
      </c>
      <c r="AC286" s="171" t="str">
        <f t="shared" si="190"/>
        <v>0.0341264806965101-0.388322865428713i</v>
      </c>
      <c r="AD286" s="190">
        <f t="shared" si="191"/>
        <v>-8.1827281714800613</v>
      </c>
      <c r="AE286" s="169">
        <f t="shared" si="192"/>
        <v>-84.977651447707132</v>
      </c>
      <c r="AF286" s="98" t="str">
        <f t="shared" si="178"/>
        <v>-0.0000673063927557778</v>
      </c>
      <c r="AG286" s="98" t="str">
        <f t="shared" si="179"/>
        <v>0.000302777135028847i</v>
      </c>
      <c r="AH286" s="98">
        <f t="shared" si="193"/>
        <v>3.02777135028847E-4</v>
      </c>
      <c r="AI286" s="98">
        <f t="shared" si="194"/>
        <v>1.5707963267948966</v>
      </c>
      <c r="AJ286" s="98" t="str">
        <f t="shared" si="180"/>
        <v>1+0.304675009428757i</v>
      </c>
      <c r="AK286" s="98">
        <f t="shared" si="195"/>
        <v>1.0453835953229864</v>
      </c>
      <c r="AL286" s="98">
        <f t="shared" si="196"/>
        <v>0.29574025619265987</v>
      </c>
      <c r="AM286" s="98" t="str">
        <f t="shared" si="181"/>
        <v>1+45.1098234548341i</v>
      </c>
      <c r="AN286" s="98">
        <f t="shared" si="197"/>
        <v>45.120906153647894</v>
      </c>
      <c r="AO286" s="98">
        <f t="shared" si="198"/>
        <v>1.5486318365977123</v>
      </c>
      <c r="AP286" s="168" t="str">
        <f t="shared" si="199"/>
        <v>-9.11401626801535+2.9991098073387i</v>
      </c>
      <c r="AQ286" s="98">
        <f t="shared" si="200"/>
        <v>19.640707449197109</v>
      </c>
      <c r="AR286" s="169">
        <f t="shared" si="201"/>
        <v>161.78539974468521</v>
      </c>
      <c r="AS286" s="168" t="str">
        <f t="shared" si="202"/>
        <v>0.853593613883015+3.64152997570648i</v>
      </c>
      <c r="AT286" s="190">
        <f t="shared" si="203"/>
        <v>11.457979277717039</v>
      </c>
      <c r="AU286" s="169">
        <f t="shared" si="204"/>
        <v>76.807748296978048</v>
      </c>
      <c r="AV286" s="225"/>
      <c r="AX286">
        <f t="shared" si="205"/>
        <v>0</v>
      </c>
      <c r="AY286">
        <f t="shared" si="206"/>
        <v>0</v>
      </c>
    </row>
    <row r="287" spans="14:51" x14ac:dyDescent="0.25">
      <c r="N287" s="170">
        <v>69</v>
      </c>
      <c r="O287" s="199">
        <f t="shared" si="207"/>
        <v>4897.7881936844633</v>
      </c>
      <c r="P287" s="189" t="str">
        <f t="shared" si="173"/>
        <v>87</v>
      </c>
      <c r="Q287" s="160" t="str">
        <f t="shared" si="174"/>
        <v>1+230.80283112177i</v>
      </c>
      <c r="R287" s="160">
        <f t="shared" si="182"/>
        <v>230.80499746284585</v>
      </c>
      <c r="S287" s="160">
        <f t="shared" si="183"/>
        <v>1.5664636514209713</v>
      </c>
      <c r="T287" s="160" t="str">
        <f t="shared" si="175"/>
        <v>1+0.153868554081179i</v>
      </c>
      <c r="U287" s="160">
        <f t="shared" si="184"/>
        <v>1.0117685169716604</v>
      </c>
      <c r="V287" s="160">
        <f t="shared" si="185"/>
        <v>0.15267121063211081</v>
      </c>
      <c r="W287" s="98" t="str">
        <f t="shared" si="176"/>
        <v>1-0.0217980451615005i</v>
      </c>
      <c r="X287" s="160">
        <f t="shared" si="186"/>
        <v>1.0002375491716269</v>
      </c>
      <c r="Y287" s="160">
        <f t="shared" si="187"/>
        <v>-2.1794593663711944E-2</v>
      </c>
      <c r="Z287" s="98" t="str">
        <f t="shared" si="177"/>
        <v>0.999829416325759+0.045791281694559i</v>
      </c>
      <c r="AA287" s="160">
        <f t="shared" si="188"/>
        <v>1.0008774666409159</v>
      </c>
      <c r="AB287" s="160">
        <f t="shared" si="189"/>
        <v>4.5767112442112547E-2</v>
      </c>
      <c r="AC287" s="171" t="str">
        <f t="shared" si="190"/>
        <v>0.0340440027352791-0.379610284616787i</v>
      </c>
      <c r="AD287" s="190">
        <f t="shared" si="191"/>
        <v>-8.378451036320909</v>
      </c>
      <c r="AE287" s="169">
        <f t="shared" si="192"/>
        <v>-84.875340581268048</v>
      </c>
      <c r="AF287" s="98" t="str">
        <f t="shared" si="178"/>
        <v>-0.0000673063927557778</v>
      </c>
      <c r="AG287" s="98" t="str">
        <f t="shared" si="179"/>
        <v>0.000309829720497863i</v>
      </c>
      <c r="AH287" s="98">
        <f t="shared" si="193"/>
        <v>3.09829720497863E-4</v>
      </c>
      <c r="AI287" s="98">
        <f t="shared" si="194"/>
        <v>1.5707963267948966</v>
      </c>
      <c r="AJ287" s="98" t="str">
        <f t="shared" si="180"/>
        <v>1+0.31177180207152i</v>
      </c>
      <c r="AK287" s="98">
        <f t="shared" si="195"/>
        <v>1.0474739407579183</v>
      </c>
      <c r="AL287" s="98">
        <f t="shared" si="196"/>
        <v>0.3022213192719907</v>
      </c>
      <c r="AM287" s="98" t="str">
        <f t="shared" si="181"/>
        <v>1+46.1605662243538i</v>
      </c>
      <c r="AN287" s="98">
        <f t="shared" si="197"/>
        <v>46.171396710008167</v>
      </c>
      <c r="AO287" s="98">
        <f t="shared" si="198"/>
        <v>1.5491362023663504</v>
      </c>
      <c r="AP287" s="168" t="str">
        <f t="shared" si="199"/>
        <v>-9.07767659029827+3.04740031084617i</v>
      </c>
      <c r="AQ287" s="98">
        <f t="shared" si="200"/>
        <v>19.623260505627151</v>
      </c>
      <c r="AR287" s="169">
        <f t="shared" si="201"/>
        <v>161.44296021335518</v>
      </c>
      <c r="AS287" s="168" t="str">
        <f t="shared" si="202"/>
        <v>0.847784052671506+3.54972509862021i</v>
      </c>
      <c r="AT287" s="190">
        <f t="shared" si="203"/>
        <v>11.244809469306245</v>
      </c>
      <c r="AU287" s="169">
        <f t="shared" si="204"/>
        <v>76.567619632087158</v>
      </c>
      <c r="AV287" s="225"/>
      <c r="AX287">
        <f t="shared" si="205"/>
        <v>0</v>
      </c>
      <c r="AY287">
        <f t="shared" si="206"/>
        <v>0</v>
      </c>
    </row>
    <row r="288" spans="14:51" x14ac:dyDescent="0.25">
      <c r="N288" s="170">
        <v>70</v>
      </c>
      <c r="O288" s="199">
        <f t="shared" si="207"/>
        <v>5011.8723362727324</v>
      </c>
      <c r="P288" s="189" t="str">
        <f t="shared" si="173"/>
        <v>87</v>
      </c>
      <c r="Q288" s="160" t="str">
        <f t="shared" si="174"/>
        <v>1+236.178919685466i</v>
      </c>
      <c r="R288" s="160">
        <f t="shared" si="182"/>
        <v>236.18103671504576</v>
      </c>
      <c r="S288" s="160">
        <f t="shared" si="183"/>
        <v>1.5665622739607565</v>
      </c>
      <c r="T288" s="160" t="str">
        <f t="shared" si="175"/>
        <v>1+0.157452613123644i</v>
      </c>
      <c r="U288" s="160">
        <f t="shared" si="184"/>
        <v>1.0123197742706915</v>
      </c>
      <c r="V288" s="160">
        <f t="shared" si="185"/>
        <v>0.15617047826805663</v>
      </c>
      <c r="W288" s="98" t="str">
        <f t="shared" si="176"/>
        <v>1-0.0223057868591829i</v>
      </c>
      <c r="X288" s="160">
        <f t="shared" si="186"/>
        <v>1.0002487431271319</v>
      </c>
      <c r="Y288" s="160">
        <f t="shared" si="187"/>
        <v>-2.2302088562341161E-2</v>
      </c>
      <c r="Z288" s="98" t="str">
        <f t="shared" si="177"/>
        <v>0.99982137696487+0.0468578976655963i</v>
      </c>
      <c r="AA288" s="160">
        <f t="shared" si="188"/>
        <v>1.0009188021061288</v>
      </c>
      <c r="AB288" s="160">
        <f t="shared" si="189"/>
        <v>4.6832001115365625E-2</v>
      </c>
      <c r="AC288" s="171" t="str">
        <f t="shared" si="190"/>
        <v>0.0339647272863884-0.371098926344325i</v>
      </c>
      <c r="AD288" s="190">
        <f t="shared" si="191"/>
        <v>-8.5739776971605313</v>
      </c>
      <c r="AE288" s="169">
        <f t="shared" si="192"/>
        <v>-84.770588912080754</v>
      </c>
      <c r="AF288" s="98" t="str">
        <f t="shared" si="178"/>
        <v>-0.0000673063927557778</v>
      </c>
      <c r="AG288" s="98" t="str">
        <f t="shared" si="179"/>
        <v>0.000317046581785768i</v>
      </c>
      <c r="AH288" s="98">
        <f t="shared" si="193"/>
        <v>3.1704658178576803E-4</v>
      </c>
      <c r="AI288" s="98">
        <f t="shared" si="194"/>
        <v>1.5707963267948966</v>
      </c>
      <c r="AJ288" s="98" t="str">
        <f t="shared" si="180"/>
        <v>1+0.319033900250529i</v>
      </c>
      <c r="AK288" s="98">
        <f t="shared" si="195"/>
        <v>1.0496583394176719</v>
      </c>
      <c r="AL288" s="98">
        <f t="shared" si="196"/>
        <v>0.30882633849524033</v>
      </c>
      <c r="AM288" s="98" t="str">
        <f t="shared" si="181"/>
        <v>1+47.235783937093i</v>
      </c>
      <c r="AN288" s="98">
        <f t="shared" si="197"/>
        <v>47.246367946665835</v>
      </c>
      <c r="AO288" s="98">
        <f t="shared" si="198"/>
        <v>1.549629098018815</v>
      </c>
      <c r="AP288" s="168" t="str">
        <f t="shared" si="199"/>
        <v>-9.03993358208242+3.09633707886834i</v>
      </c>
      <c r="AQ288" s="98">
        <f t="shared" si="200"/>
        <v>19.605074150046946</v>
      </c>
      <c r="AR288" s="169">
        <f t="shared" si="201"/>
        <v>161.09276132888675</v>
      </c>
      <c r="AS288" s="168" t="str">
        <f t="shared" si="202"/>
        <v>0.842008486765671+3.45987589100529i</v>
      </c>
      <c r="AT288" s="190">
        <f t="shared" si="203"/>
        <v>11.031096452886416</v>
      </c>
      <c r="AU288" s="169">
        <f t="shared" si="204"/>
        <v>76.32217241680604</v>
      </c>
      <c r="AV288" s="225"/>
      <c r="AX288">
        <f t="shared" si="205"/>
        <v>0</v>
      </c>
      <c r="AY288">
        <f t="shared" si="206"/>
        <v>0</v>
      </c>
    </row>
    <row r="289" spans="14:51" x14ac:dyDescent="0.25">
      <c r="N289" s="170">
        <v>71</v>
      </c>
      <c r="O289" s="199">
        <f t="shared" si="207"/>
        <v>5128.6138399136489</v>
      </c>
      <c r="P289" s="189" t="str">
        <f t="shared" si="173"/>
        <v>87</v>
      </c>
      <c r="Q289" s="160" t="str">
        <f t="shared" si="174"/>
        <v>1+241.680233438575i</v>
      </c>
      <c r="R289" s="160">
        <f t="shared" si="182"/>
        <v>241.68230227909552</v>
      </c>
      <c r="S289" s="160">
        <f t="shared" si="183"/>
        <v>1.5666586516570478</v>
      </c>
      <c r="T289" s="160" t="str">
        <f t="shared" si="175"/>
        <v>1+0.161120155625716i</v>
      </c>
      <c r="U289" s="160">
        <f t="shared" si="184"/>
        <v>1.0128966899683576</v>
      </c>
      <c r="V289" s="160">
        <f t="shared" si="185"/>
        <v>0.1597472663460423</v>
      </c>
      <c r="W289" s="98" t="str">
        <f t="shared" si="176"/>
        <v>1-0.0228253553803099i</v>
      </c>
      <c r="X289" s="160">
        <f t="shared" si="186"/>
        <v>1.00026046450324</v>
      </c>
      <c r="Y289" s="160">
        <f t="shared" si="187"/>
        <v>-2.2821392639577075E-2</v>
      </c>
      <c r="Z289" s="98" t="str">
        <f t="shared" si="177"/>
        <v>0.999812958720576+0.0479493583142132i</v>
      </c>
      <c r="AA289" s="160">
        <f t="shared" si="188"/>
        <v>1.0009620838914612</v>
      </c>
      <c r="AB289" s="160">
        <f t="shared" si="189"/>
        <v>4.7921611085897493E-2</v>
      </c>
      <c r="AC289" s="171" t="str">
        <f t="shared" si="190"/>
        <v>0.0338884863448463-0.3627842782232i</v>
      </c>
      <c r="AD289" s="190">
        <f t="shared" si="191"/>
        <v>-8.7692993632657252</v>
      </c>
      <c r="AE289" s="169">
        <f t="shared" si="192"/>
        <v>-84.663360070772526</v>
      </c>
      <c r="AF289" s="98" t="str">
        <f t="shared" si="178"/>
        <v>-0.0000673063927557778</v>
      </c>
      <c r="AG289" s="98" t="str">
        <f t="shared" si="179"/>
        <v>0.000324431545367943i</v>
      </c>
      <c r="AH289" s="98">
        <f t="shared" si="193"/>
        <v>3.24431545367943E-4</v>
      </c>
      <c r="AI289" s="98">
        <f t="shared" si="194"/>
        <v>1.5707963267948966</v>
      </c>
      <c r="AJ289" s="98" t="str">
        <f t="shared" si="180"/>
        <v>1+0.326465154426362i</v>
      </c>
      <c r="AK289" s="98">
        <f t="shared" si="195"/>
        <v>1.0519408239319492</v>
      </c>
      <c r="AL289" s="98">
        <f t="shared" si="196"/>
        <v>0.31555650989057416</v>
      </c>
      <c r="AM289" s="98" t="str">
        <f t="shared" si="181"/>
        <v>1+48.3360466877149i</v>
      </c>
      <c r="AN289" s="98">
        <f t="shared" si="197"/>
        <v>48.34638982795876</v>
      </c>
      <c r="AO289" s="98">
        <f t="shared" si="198"/>
        <v>1.5501107839363792</v>
      </c>
      <c r="AP289" s="168" t="str">
        <f t="shared" si="199"/>
        <v>-9.0007467327604+3.14588963066622i</v>
      </c>
      <c r="AQ289" s="98">
        <f t="shared" si="200"/>
        <v>19.586119602356668</v>
      </c>
      <c r="AR289" s="169">
        <f t="shared" si="201"/>
        <v>160.7347494826619</v>
      </c>
      <c r="AS289" s="168" t="str">
        <f t="shared" si="202"/>
        <v>0.836257616284523+3.37193884470553i</v>
      </c>
      <c r="AT289" s="190">
        <f t="shared" si="203"/>
        <v>10.816820239090932</v>
      </c>
      <c r="AU289" s="169">
        <f t="shared" si="204"/>
        <v>76.071389411889371</v>
      </c>
      <c r="AV289" s="225"/>
      <c r="AX289">
        <f t="shared" si="205"/>
        <v>0</v>
      </c>
      <c r="AY289">
        <f t="shared" si="206"/>
        <v>0</v>
      </c>
    </row>
    <row r="290" spans="14:51" x14ac:dyDescent="0.25">
      <c r="N290" s="170">
        <v>72</v>
      </c>
      <c r="O290" s="199">
        <f t="shared" si="207"/>
        <v>5248.0746024977261</v>
      </c>
      <c r="P290" s="189" t="str">
        <f t="shared" si="173"/>
        <v>87</v>
      </c>
      <c r="Q290" s="160" t="str">
        <f t="shared" si="174"/>
        <v>1+247.309689250471i</v>
      </c>
      <c r="R290" s="160">
        <f t="shared" si="182"/>
        <v>247.31171099882133</v>
      </c>
      <c r="S290" s="160">
        <f t="shared" si="183"/>
        <v>1.5667528356034095</v>
      </c>
      <c r="T290" s="160" t="str">
        <f t="shared" si="175"/>
        <v>1+0.164873126166981i</v>
      </c>
      <c r="U290" s="160">
        <f t="shared" si="184"/>
        <v>1.0135004428869645</v>
      </c>
      <c r="V290" s="160">
        <f t="shared" si="185"/>
        <v>0.16340310506496764</v>
      </c>
      <c r="W290" s="98" t="str">
        <f t="shared" si="176"/>
        <v>1-0.023357026206989i</v>
      </c>
      <c r="X290" s="160">
        <f t="shared" si="186"/>
        <v>1.0002727381435694</v>
      </c>
      <c r="Y290" s="160">
        <f t="shared" si="187"/>
        <v>-2.3352780116319617E-2</v>
      </c>
      <c r="Z290" s="98" t="str">
        <f t="shared" si="177"/>
        <v>0.999804143736651+0.0490662423472934i</v>
      </c>
      <c r="AA290" s="160">
        <f t="shared" si="188"/>
        <v>1.0010074035545697</v>
      </c>
      <c r="AB290" s="160">
        <f t="shared" si="189"/>
        <v>4.9036512255381665E-2</v>
      </c>
      <c r="AC290" s="171" t="str">
        <f t="shared" si="190"/>
        <v>0.0338151183534064-0.35466193191928i</v>
      </c>
      <c r="AD290" s="190">
        <f t="shared" si="191"/>
        <v>-8.9644068741272136</v>
      </c>
      <c r="AE290" s="169">
        <f t="shared" si="192"/>
        <v>-84.553617675511092</v>
      </c>
      <c r="AF290" s="98" t="str">
        <f t="shared" si="178"/>
        <v>-0.0000673063927557778</v>
      </c>
      <c r="AG290" s="98" t="str">
        <f t="shared" si="179"/>
        <v>0.000331988526849832i</v>
      </c>
      <c r="AH290" s="98">
        <f t="shared" si="193"/>
        <v>3.3198852684983201E-4</v>
      </c>
      <c r="AI290" s="98">
        <f t="shared" si="194"/>
        <v>1.5707963267948966</v>
      </c>
      <c r="AJ290" s="98" t="str">
        <f t="shared" si="180"/>
        <v>1+0.334069504748351i</v>
      </c>
      <c r="AK290" s="98">
        <f t="shared" si="195"/>
        <v>1.0543255825421332</v>
      </c>
      <c r="AL290" s="98">
        <f t="shared" si="196"/>
        <v>0.32241296227952743</v>
      </c>
      <c r="AM290" s="98" t="str">
        <f t="shared" si="181"/>
        <v>1+49.4619378500941i</v>
      </c>
      <c r="AN290" s="98">
        <f t="shared" si="197"/>
        <v>49.472045600384988</v>
      </c>
      <c r="AO290" s="98">
        <f t="shared" si="198"/>
        <v>1.5505815146206889</v>
      </c>
      <c r="AP290" s="168" t="str">
        <f t="shared" si="199"/>
        <v>-8.96007555218155+3.19602510701132i</v>
      </c>
      <c r="AQ290" s="98">
        <f t="shared" si="200"/>
        <v>19.566367277730869</v>
      </c>
      <c r="AR290" s="169">
        <f t="shared" si="201"/>
        <v>160.36887457984068</v>
      </c>
      <c r="AS290" s="168" t="str">
        <f t="shared" si="202"/>
        <v>0.830522423662676+3.28587167273346i</v>
      </c>
      <c r="AT290" s="190">
        <f t="shared" si="203"/>
        <v>10.601960403603641</v>
      </c>
      <c r="AU290" s="169">
        <f t="shared" si="204"/>
        <v>75.815256904329573</v>
      </c>
      <c r="AV290" s="225"/>
      <c r="AX290">
        <f t="shared" si="205"/>
        <v>0</v>
      </c>
      <c r="AY290">
        <f t="shared" si="206"/>
        <v>0</v>
      </c>
    </row>
    <row r="291" spans="14:51" x14ac:dyDescent="0.25">
      <c r="N291" s="170">
        <v>73</v>
      </c>
      <c r="O291" s="199">
        <f t="shared" si="207"/>
        <v>5370.3179637025269</v>
      </c>
      <c r="P291" s="189" t="str">
        <f t="shared" si="173"/>
        <v>87</v>
      </c>
      <c r="Q291" s="160" t="str">
        <f t="shared" si="174"/>
        <v>1+253.070271933138i</v>
      </c>
      <c r="R291" s="160">
        <f t="shared" si="182"/>
        <v>253.07224766124085</v>
      </c>
      <c r="S291" s="160">
        <f t="shared" si="183"/>
        <v>1.5668448757307289</v>
      </c>
      <c r="T291" s="160" t="str">
        <f t="shared" si="175"/>
        <v>1+0.168713514622091i</v>
      </c>
      <c r="U291" s="160">
        <f t="shared" si="184"/>
        <v>1.0141322645573103</v>
      </c>
      <c r="V291" s="160">
        <f t="shared" si="185"/>
        <v>0.16713954171362547</v>
      </c>
      <c r="W291" s="98" t="str">
        <f t="shared" si="176"/>
        <v>1-0.0239010812381297i</v>
      </c>
      <c r="X291" s="160">
        <f t="shared" si="186"/>
        <v>1.0002855900613343</v>
      </c>
      <c r="Y291" s="160">
        <f t="shared" si="187"/>
        <v>-2.3896531540160155E-2</v>
      </c>
      <c r="Z291" s="98" t="str">
        <f t="shared" si="177"/>
        <v>0.999794913315333+0.0502091419515344i</v>
      </c>
      <c r="AA291" s="160">
        <f t="shared" si="188"/>
        <v>1.0010548569517674</v>
      </c>
      <c r="AB291" s="160">
        <f t="shared" si="189"/>
        <v>5.0177287377859314E-2</v>
      </c>
      <c r="AC291" s="171" t="str">
        <f t="shared" si="190"/>
        <v>0.0337444678612262-0.346727580816188i</v>
      </c>
      <c r="AD291" s="190">
        <f t="shared" si="191"/>
        <v>-9.1592906859774175</v>
      </c>
      <c r="AE291" s="169">
        <f t="shared" si="192"/>
        <v>-84.441325397548042</v>
      </c>
      <c r="AF291" s="98" t="str">
        <f t="shared" si="178"/>
        <v>-0.0000673063927557778</v>
      </c>
      <c r="AG291" s="98" t="str">
        <f t="shared" si="179"/>
        <v>0.000339721533043044i</v>
      </c>
      <c r="AH291" s="98">
        <f t="shared" si="193"/>
        <v>3.3972153304304403E-4</v>
      </c>
      <c r="AI291" s="98">
        <f t="shared" si="194"/>
        <v>1.5707963267948966</v>
      </c>
      <c r="AJ291" s="98" t="str">
        <f t="shared" si="180"/>
        <v>1+0.341850983143689i</v>
      </c>
      <c r="AK291" s="98">
        <f t="shared" si="195"/>
        <v>1.0568169636584694</v>
      </c>
      <c r="AL291" s="98">
        <f t="shared" si="196"/>
        <v>0.3293967515428694</v>
      </c>
      <c r="AM291" s="98" t="str">
        <f t="shared" si="181"/>
        <v>1+50.6140543866274i</v>
      </c>
      <c r="AN291" s="98">
        <f t="shared" si="197"/>
        <v>50.623932101847601</v>
      </c>
      <c r="AO291" s="98">
        <f t="shared" si="198"/>
        <v>1.5510415388244412</v>
      </c>
      <c r="AP291" s="168" t="str">
        <f t="shared" si="199"/>
        <v>-8.91787969179908+3.24670818506458i</v>
      </c>
      <c r="AQ291" s="98">
        <f t="shared" si="200"/>
        <v>19.545786787837756</v>
      </c>
      <c r="AR291" s="169">
        <f t="shared" si="201"/>
        <v>159.99509037539121</v>
      </c>
      <c r="AS291" s="168" t="str">
        <f t="shared" si="202"/>
        <v>0.824794169973362+3.201633291553i</v>
      </c>
      <c r="AT291" s="190">
        <f t="shared" si="203"/>
        <v>10.386496101860342</v>
      </c>
      <c r="AU291" s="169">
        <f t="shared" si="204"/>
        <v>75.553764977843201</v>
      </c>
      <c r="AV291" s="225"/>
      <c r="AX291">
        <f t="shared" si="205"/>
        <v>0</v>
      </c>
      <c r="AY291">
        <f t="shared" si="206"/>
        <v>0</v>
      </c>
    </row>
    <row r="292" spans="14:51" x14ac:dyDescent="0.25">
      <c r="N292" s="170">
        <v>74</v>
      </c>
      <c r="O292" s="199">
        <f t="shared" si="207"/>
        <v>5495.4087385762541</v>
      </c>
      <c r="P292" s="189" t="str">
        <f t="shared" si="173"/>
        <v>87</v>
      </c>
      <c r="Q292" s="160" t="str">
        <f t="shared" si="174"/>
        <v>1+258.965035823765i</v>
      </c>
      <c r="R292" s="160">
        <f t="shared" si="182"/>
        <v>258.96696657914475</v>
      </c>
      <c r="S292" s="160">
        <f t="shared" si="183"/>
        <v>1.5669348208336589</v>
      </c>
      <c r="T292" s="160" t="str">
        <f t="shared" si="175"/>
        <v>1+0.172643357215843i</v>
      </c>
      <c r="U292" s="160">
        <f t="shared" si="184"/>
        <v>1.0147934414405511</v>
      </c>
      <c r="V292" s="160">
        <f t="shared" si="185"/>
        <v>0.170958139875691</v>
      </c>
      <c r="W292" s="98" t="str">
        <f t="shared" si="176"/>
        <v>1-0.0244578089389111i</v>
      </c>
      <c r="X292" s="160">
        <f t="shared" si="186"/>
        <v>1.0002990474943443</v>
      </c>
      <c r="Y292" s="160">
        <f t="shared" si="187"/>
        <v>-2.44529339284154E-2</v>
      </c>
      <c r="Z292" s="98" t="str">
        <f t="shared" si="177"/>
        <v>0.99978524787766+0.0513786631074349i</v>
      </c>
      <c r="AA292" s="160">
        <f t="shared" si="188"/>
        <v>1.0011045444390418</v>
      </c>
      <c r="AB292" s="160">
        <f t="shared" si="189"/>
        <v>5.1344532329131595E-2</v>
      </c>
      <c r="AC292" s="171" t="str">
        <f t="shared" si="190"/>
        <v>0.0336763851955906-0.338977017731812i</v>
      </c>
      <c r="AD292" s="190">
        <f t="shared" si="191"/>
        <v>-9.3539408580239147</v>
      </c>
      <c r="AE292" s="169">
        <f t="shared" si="192"/>
        <v>-84.326447031914896</v>
      </c>
      <c r="AF292" s="98" t="str">
        <f t="shared" si="178"/>
        <v>-0.0000673063927557778</v>
      </c>
      <c r="AG292" s="98" t="str">
        <f t="shared" si="179"/>
        <v>0.000347634664089822i</v>
      </c>
      <c r="AH292" s="98">
        <f t="shared" si="193"/>
        <v>3.4763466408982202E-4</v>
      </c>
      <c r="AI292" s="98">
        <f t="shared" si="194"/>
        <v>1.5707963267948966</v>
      </c>
      <c r="AJ292" s="98" t="str">
        <f t="shared" si="180"/>
        <v>1+0.349813715455224i</v>
      </c>
      <c r="AK292" s="98">
        <f t="shared" si="195"/>
        <v>1.0594194804328398</v>
      </c>
      <c r="AL292" s="98">
        <f t="shared" si="196"/>
        <v>0.33650885469728803</v>
      </c>
      <c r="AM292" s="98" t="str">
        <f t="shared" si="181"/>
        <v>1+51.7930071647529i</v>
      </c>
      <c r="AN292" s="98">
        <f t="shared" si="197"/>
        <v>51.802660078109355</v>
      </c>
      <c r="AO292" s="98">
        <f t="shared" si="198"/>
        <v>1.5514910996793005</v>
      </c>
      <c r="AP292" s="168" t="str">
        <f t="shared" si="199"/>
        <v>-8.87411907578405+3.29790099727439i</v>
      </c>
      <c r="AQ292" s="98">
        <f t="shared" si="200"/>
        <v>19.524346944608286</v>
      </c>
      <c r="AR292" s="169">
        <f t="shared" si="201"/>
        <v>159.61335482079915</v>
      </c>
      <c r="AS292" s="168" t="str">
        <f t="shared" si="202"/>
        <v>0.819064392563199+3.1191838036274i</v>
      </c>
      <c r="AT292" s="190">
        <f t="shared" si="203"/>
        <v>10.170406086584386</v>
      </c>
      <c r="AU292" s="169">
        <f t="shared" si="204"/>
        <v>75.286907788884292</v>
      </c>
      <c r="AV292" s="225"/>
      <c r="AX292">
        <f t="shared" si="205"/>
        <v>0</v>
      </c>
      <c r="AY292">
        <f t="shared" si="206"/>
        <v>0</v>
      </c>
    </row>
    <row r="293" spans="14:51" x14ac:dyDescent="0.25">
      <c r="N293" s="170">
        <v>75</v>
      </c>
      <c r="O293" s="199">
        <f t="shared" si="207"/>
        <v>5623.4132519034993</v>
      </c>
      <c r="P293" s="189" t="str">
        <f t="shared" si="173"/>
        <v>87</v>
      </c>
      <c r="Q293" s="160" t="str">
        <f t="shared" si="174"/>
        <v>1+264.997106404193i</v>
      </c>
      <c r="R293" s="160">
        <f t="shared" si="182"/>
        <v>264.9989932105313</v>
      </c>
      <c r="S293" s="160">
        <f t="shared" si="183"/>
        <v>1.5670227185964587</v>
      </c>
      <c r="T293" s="160" t="str">
        <f t="shared" si="175"/>
        <v>1+0.176664737602795i</v>
      </c>
      <c r="U293" s="160">
        <f t="shared" si="184"/>
        <v>1.0154853172312559</v>
      </c>
      <c r="V293" s="160">
        <f t="shared" si="185"/>
        <v>0.17486047854606765</v>
      </c>
      <c r="W293" s="98" t="str">
        <f t="shared" si="176"/>
        <v>1-0.0250275044937293i</v>
      </c>
      <c r="X293" s="160">
        <f t="shared" si="186"/>
        <v>1.0003131389625868</v>
      </c>
      <c r="Y293" s="160">
        <f t="shared" si="187"/>
        <v>-2.502228091418239E-2</v>
      </c>
      <c r="Z293" s="98" t="str">
        <f t="shared" si="177"/>
        <v>0.999775126921944+0.0525754259105918i</v>
      </c>
      <c r="AA293" s="160">
        <f t="shared" si="188"/>
        <v>1.0011565710824004</v>
      </c>
      <c r="AB293" s="160">
        <f t="shared" si="189"/>
        <v>5.2538856380305796E-2</v>
      </c>
      <c r="AC293" s="171" t="str">
        <f t="shared" si="190"/>
        <v>0.0336107261459987-0.331406132686412i</v>
      </c>
      <c r="AD293" s="190">
        <f t="shared" si="191"/>
        <v>-9.5483470384125653</v>
      </c>
      <c r="AE293" s="169">
        <f t="shared" si="192"/>
        <v>-84.208946573574877</v>
      </c>
      <c r="AF293" s="98" t="str">
        <f t="shared" si="178"/>
        <v>-0.0000673063927557778</v>
      </c>
      <c r="AG293" s="98" t="str">
        <f t="shared" si="179"/>
        <v>0.000355732115636988i</v>
      </c>
      <c r="AH293" s="98">
        <f t="shared" si="193"/>
        <v>3.5573211563698798E-4</v>
      </c>
      <c r="AI293" s="98">
        <f t="shared" si="194"/>
        <v>1.5707963267948966</v>
      </c>
      <c r="AJ293" s="98" t="str">
        <f t="shared" si="180"/>
        <v>1+0.357961923629024i</v>
      </c>
      <c r="AK293" s="98">
        <f t="shared" si="195"/>
        <v>1.0621378153366876</v>
      </c>
      <c r="AL293" s="98">
        <f t="shared" si="196"/>
        <v>0.34375016379310369</v>
      </c>
      <c r="AM293" s="98" t="str">
        <f t="shared" si="181"/>
        <v>1+52.9994212808385i</v>
      </c>
      <c r="AN293" s="98">
        <f t="shared" si="197"/>
        <v>53.008854506618015</v>
      </c>
      <c r="AO293" s="98">
        <f t="shared" si="198"/>
        <v>1.5519304348210983</v>
      </c>
      <c r="AP293" s="168" t="str">
        <f t="shared" si="199"/>
        <v>-8.82875404228874+3.34956305519807i</v>
      </c>
      <c r="AQ293" s="98">
        <f t="shared" si="200"/>
        <v>19.502015766756248</v>
      </c>
      <c r="AR293" s="169">
        <f t="shared" si="201"/>
        <v>159.22363042087602</v>
      </c>
      <c r="AS293" s="168" t="str">
        <f t="shared" si="202"/>
        <v>0.813324903986729+3.03848448015146i</v>
      </c>
      <c r="AT293" s="190">
        <f t="shared" si="203"/>
        <v>9.9536687283436933</v>
      </c>
      <c r="AU293" s="169">
        <f t="shared" si="204"/>
        <v>75.014683847301171</v>
      </c>
      <c r="AV293" s="225"/>
      <c r="AX293">
        <f t="shared" si="205"/>
        <v>0</v>
      </c>
      <c r="AY293">
        <f t="shared" si="206"/>
        <v>0</v>
      </c>
    </row>
    <row r="294" spans="14:51" x14ac:dyDescent="0.25">
      <c r="N294" s="170">
        <v>76</v>
      </c>
      <c r="O294" s="199">
        <f t="shared" si="207"/>
        <v>5754.399373371567</v>
      </c>
      <c r="P294" s="189" t="str">
        <f t="shared" si="173"/>
        <v>87</v>
      </c>
      <c r="Q294" s="160" t="str">
        <f t="shared" si="174"/>
        <v>1+271.169681958088i</v>
      </c>
      <c r="R294" s="160">
        <f t="shared" si="182"/>
        <v>271.1715258157659</v>
      </c>
      <c r="S294" s="160">
        <f t="shared" si="183"/>
        <v>1.5671086156182497</v>
      </c>
      <c r="T294" s="160" t="str">
        <f t="shared" si="175"/>
        <v>1+0.180779787972058i</v>
      </c>
      <c r="U294" s="160">
        <f t="shared" si="184"/>
        <v>1.0162092952434663</v>
      </c>
      <c r="V294" s="160">
        <f t="shared" si="185"/>
        <v>0.17884815115325939</v>
      </c>
      <c r="W294" s="98" t="str">
        <f t="shared" si="176"/>
        <v>1-0.0256104699627083i</v>
      </c>
      <c r="X294" s="160">
        <f t="shared" si="186"/>
        <v>1.0003278943285101</v>
      </c>
      <c r="Y294" s="160">
        <f t="shared" si="187"/>
        <v>-2.560487289546548E-2</v>
      </c>
      <c r="Z294" s="98" t="str">
        <f t="shared" si="177"/>
        <v>0.999764528980279+0.0538000649004845i</v>
      </c>
      <c r="AA294" s="160">
        <f t="shared" si="188"/>
        <v>1.0012110468779574</v>
      </c>
      <c r="AB294" s="160">
        <f t="shared" si="189"/>
        <v>5.376088247545216E-2</v>
      </c>
      <c r="AC294" s="171" t="str">
        <f t="shared" si="190"/>
        <v>0.0335473516599755-0.324010910721123i</v>
      </c>
      <c r="AD294" s="190">
        <f t="shared" si="191"/>
        <v>-9.7424984499387666</v>
      </c>
      <c r="AE294" s="169">
        <f t="shared" si="192"/>
        <v>-84.08878829933667</v>
      </c>
      <c r="AF294" s="98" t="str">
        <f t="shared" si="178"/>
        <v>-0.0000673063927557778</v>
      </c>
      <c r="AG294" s="98" t="str">
        <f t="shared" si="179"/>
        <v>0.000364018181060536i</v>
      </c>
      <c r="AH294" s="98">
        <f t="shared" si="193"/>
        <v>3.64018181060536E-4</v>
      </c>
      <c r="AI294" s="98">
        <f t="shared" si="194"/>
        <v>1.5707963267948966</v>
      </c>
      <c r="AJ294" s="98" t="str">
        <f t="shared" si="180"/>
        <v>1+0.366299927952918i</v>
      </c>
      <c r="AK294" s="98">
        <f t="shared" si="195"/>
        <v>1.0649768247329672</v>
      </c>
      <c r="AL294" s="98">
        <f t="shared" si="196"/>
        <v>0.35112147964547402</v>
      </c>
      <c r="AM294" s="98" t="str">
        <f t="shared" si="181"/>
        <v>1+54.2339363916174i</v>
      </c>
      <c r="AN294" s="98">
        <f t="shared" si="197"/>
        <v>54.243154927880092</v>
      </c>
      <c r="AO294" s="98">
        <f t="shared" si="198"/>
        <v>1.5523597765123651</v>
      </c>
      <c r="AP294" s="168" t="str">
        <f t="shared" si="199"/>
        <v>-8.78174549497657+3.40165117921545i</v>
      </c>
      <c r="AQ294" s="98">
        <f t="shared" si="200"/>
        <v>19.4787604892541</v>
      </c>
      <c r="AR294" s="169">
        <f t="shared" si="201"/>
        <v>158.82588459995591</v>
      </c>
      <c r="AS294" s="168" t="str">
        <f t="shared" si="202"/>
        <v>0.807567792224795+2.95949774388219i</v>
      </c>
      <c r="AT294" s="190">
        <f t="shared" si="203"/>
        <v>9.7362620393153385</v>
      </c>
      <c r="AU294" s="169">
        <f t="shared" si="204"/>
        <v>74.737096300619257</v>
      </c>
      <c r="AV294" s="225"/>
      <c r="AX294">
        <f t="shared" si="205"/>
        <v>0</v>
      </c>
      <c r="AY294">
        <f t="shared" si="206"/>
        <v>0</v>
      </c>
    </row>
    <row r="295" spans="14:51" x14ac:dyDescent="0.25">
      <c r="N295" s="170">
        <v>77</v>
      </c>
      <c r="O295" s="199">
        <f t="shared" si="207"/>
        <v>5888.4365535558973</v>
      </c>
      <c r="P295" s="189" t="str">
        <f t="shared" si="173"/>
        <v>87</v>
      </c>
      <c r="Q295" s="160" t="str">
        <f t="shared" si="174"/>
        <v>1+277.486035266713i</v>
      </c>
      <c r="R295" s="160">
        <f t="shared" si="182"/>
        <v>277.48783715334167</v>
      </c>
      <c r="S295" s="160">
        <f t="shared" si="183"/>
        <v>1.5671925574376968</v>
      </c>
      <c r="T295" s="160" t="str">
        <f t="shared" si="175"/>
        <v>1+0.184990690177808i</v>
      </c>
      <c r="U295" s="160">
        <f t="shared" si="184"/>
        <v>1.0169668408814823</v>
      </c>
      <c r="V295" s="160">
        <f t="shared" si="185"/>
        <v>0.18292276448214498</v>
      </c>
      <c r="W295" s="98" t="str">
        <f t="shared" si="176"/>
        <v>1-0.0262070144418562i</v>
      </c>
      <c r="X295" s="160">
        <f t="shared" si="186"/>
        <v>1.0003433448601313</v>
      </c>
      <c r="Y295" s="160">
        <f t="shared" si="187"/>
        <v>-2.6201017187422244E-2</v>
      </c>
      <c r="Z295" s="98" t="str">
        <f t="shared" si="177"/>
        <v>0.999753431573012+0.0550532293969157i</v>
      </c>
      <c r="AA295" s="160">
        <f t="shared" si="188"/>
        <v>1.0012680869822241</v>
      </c>
      <c r="AB295" s="160">
        <f t="shared" si="189"/>
        <v>5.5011247513302504E-2</v>
      </c>
      <c r="AC295" s="171" t="str">
        <f t="shared" si="190"/>
        <v>0.0334861275499617-0.316787429765664i</v>
      </c>
      <c r="AD295" s="190">
        <f t="shared" si="191"/>
        <v>-9.9363838755287066</v>
      </c>
      <c r="AE295" s="169">
        <f t="shared" si="192"/>
        <v>-83.96593685585222</v>
      </c>
      <c r="AF295" s="98" t="str">
        <f t="shared" si="178"/>
        <v>-0.0000673063927557778</v>
      </c>
      <c r="AG295" s="98" t="str">
        <f t="shared" si="179"/>
        <v>0.000372497253742034i</v>
      </c>
      <c r="AH295" s="98">
        <f t="shared" si="193"/>
        <v>3.7249725374203401E-4</v>
      </c>
      <c r="AI295" s="98">
        <f t="shared" si="194"/>
        <v>1.5707963267948966</v>
      </c>
      <c r="AJ295" s="98" t="str">
        <f t="shared" si="180"/>
        <v>1+0.374832149347167i</v>
      </c>
      <c r="AK295" s="98">
        <f t="shared" si="195"/>
        <v>1.067941543430265</v>
      </c>
      <c r="AL295" s="98">
        <f t="shared" si="196"/>
        <v>0.35862350541379173</v>
      </c>
      <c r="AM295" s="98" t="str">
        <f t="shared" si="181"/>
        <v>1+55.4972070533424i</v>
      </c>
      <c r="AN295" s="98">
        <f t="shared" si="197"/>
        <v>55.506215784554769</v>
      </c>
      <c r="AO295" s="98">
        <f t="shared" si="198"/>
        <v>1.5527793517622468</v>
      </c>
      <c r="AP295" s="168" t="str">
        <f t="shared" si="199"/>
        <v>-8.73305506485985+3.45411943516383i</v>
      </c>
      <c r="AQ295" s="98">
        <f t="shared" si="200"/>
        <v>19.454547575970455</v>
      </c>
      <c r="AR295" s="169">
        <f t="shared" si="201"/>
        <v>158.42009007663921</v>
      </c>
      <c r="AS295" s="168" t="str">
        <f t="shared" si="202"/>
        <v>0.801785422166441+2.88218715197766i</v>
      </c>
      <c r="AT295" s="190">
        <f t="shared" si="203"/>
        <v>9.5181637004417414</v>
      </c>
      <c r="AU295" s="169">
        <f t="shared" si="204"/>
        <v>74.454153220786992</v>
      </c>
      <c r="AV295" s="225"/>
      <c r="AX295">
        <f t="shared" si="205"/>
        <v>0</v>
      </c>
      <c r="AY295">
        <f t="shared" si="206"/>
        <v>0</v>
      </c>
    </row>
    <row r="296" spans="14:51" x14ac:dyDescent="0.25">
      <c r="N296" s="170">
        <v>78</v>
      </c>
      <c r="O296" s="199">
        <f t="shared" si="207"/>
        <v>6025.595860743585</v>
      </c>
      <c r="P296" s="189" t="str">
        <f t="shared" si="173"/>
        <v>87</v>
      </c>
      <c r="Q296" s="160" t="str">
        <f t="shared" si="174"/>
        <v>1+283.949515344197i</v>
      </c>
      <c r="R296" s="160">
        <f t="shared" si="182"/>
        <v>283.95127621513586</v>
      </c>
      <c r="S296" s="160">
        <f t="shared" si="183"/>
        <v>1.5672745885571293</v>
      </c>
      <c r="T296" s="160" t="str">
        <f t="shared" si="175"/>
        <v>1+0.189299676896131i</v>
      </c>
      <c r="U296" s="160">
        <f t="shared" si="184"/>
        <v>1.0177594841970177</v>
      </c>
      <c r="V296" s="160">
        <f t="shared" si="185"/>
        <v>0.18708593749140526</v>
      </c>
      <c r="W296" s="98" t="str">
        <f t="shared" si="176"/>
        <v>1-0.0268174542269519i</v>
      </c>
      <c r="X296" s="160">
        <f t="shared" si="186"/>
        <v>1.0003595232971068</v>
      </c>
      <c r="Y296" s="160">
        <f t="shared" si="187"/>
        <v>-2.6811028177776013E-2</v>
      </c>
      <c r="Z296" s="98" t="str">
        <f t="shared" si="177"/>
        <v>0.999741811161052+0.0563355838442886i</v>
      </c>
      <c r="AA296" s="160">
        <f t="shared" si="188"/>
        <v>1.0013278119530373</v>
      </c>
      <c r="AB296" s="160">
        <f t="shared" si="189"/>
        <v>5.6290602632918886E-2</v>
      </c>
      <c r="AC296" s="171" t="str">
        <f t="shared" si="190"/>
        <v>0.0334269242106836-0.309731858554155i</v>
      </c>
      <c r="AD296" s="190">
        <f t="shared" si="191"/>
        <v>-10.12999164351405</v>
      </c>
      <c r="AE296" s="169">
        <f t="shared" si="192"/>
        <v>-83.840357354027375</v>
      </c>
      <c r="AF296" s="98" t="str">
        <f t="shared" si="178"/>
        <v>-0.0000673063927557778</v>
      </c>
      <c r="AG296" s="98" t="str">
        <f t="shared" si="179"/>
        <v>0.00038117382939805i</v>
      </c>
      <c r="AH296" s="98">
        <f t="shared" si="193"/>
        <v>3.8117382939805003E-4</v>
      </c>
      <c r="AI296" s="98">
        <f t="shared" si="194"/>
        <v>1.5707963267948966</v>
      </c>
      <c r="AJ296" s="98" t="str">
        <f t="shared" si="180"/>
        <v>1+0.383563111708489i</v>
      </c>
      <c r="AK296" s="98">
        <f t="shared" si="195"/>
        <v>1.0710371892065647</v>
      </c>
      <c r="AL296" s="98">
        <f t="shared" si="196"/>
        <v>0.36625684004646458</v>
      </c>
      <c r="AM296" s="98" t="str">
        <f t="shared" si="181"/>
        <v>1+56.7899030688393i</v>
      </c>
      <c r="AN296" s="98">
        <f t="shared" si="197"/>
        <v>56.798706768448206</v>
      </c>
      <c r="AO296" s="98">
        <f t="shared" si="198"/>
        <v>1.5531893824438476</v>
      </c>
      <c r="AP296" s="168" t="str">
        <f t="shared" si="199"/>
        <v>-8.68264528240048+3.50691907898048i</v>
      </c>
      <c r="AQ296" s="98">
        <f t="shared" si="200"/>
        <v>19.429342735674751</v>
      </c>
      <c r="AR296" s="169">
        <f t="shared" si="201"/>
        <v>158.00622524610262</v>
      </c>
      <c r="AS296" s="168" t="str">
        <f t="shared" si="202"/>
        <v>0.795970438328599+2.80651737875045i</v>
      </c>
      <c r="AT296" s="190">
        <f t="shared" si="203"/>
        <v>9.299351092160709</v>
      </c>
      <c r="AU296" s="169">
        <f t="shared" si="204"/>
        <v>74.165867892075283</v>
      </c>
      <c r="AV296" s="225"/>
      <c r="AX296">
        <f t="shared" si="205"/>
        <v>0</v>
      </c>
      <c r="AY296">
        <f t="shared" si="206"/>
        <v>0</v>
      </c>
    </row>
    <row r="297" spans="14:51" x14ac:dyDescent="0.25">
      <c r="N297" s="170">
        <v>79</v>
      </c>
      <c r="O297" s="199">
        <f t="shared" si="207"/>
        <v>6165.9500186148289</v>
      </c>
      <c r="P297" s="189" t="str">
        <f t="shared" si="173"/>
        <v>87</v>
      </c>
      <c r="Q297" s="160" t="str">
        <f t="shared" si="174"/>
        <v>1+290.563549213234i</v>
      </c>
      <c r="R297" s="160">
        <f t="shared" si="182"/>
        <v>290.5652700020969</v>
      </c>
      <c r="S297" s="160">
        <f t="shared" si="183"/>
        <v>1.567354752466114</v>
      </c>
      <c r="T297" s="160" t="str">
        <f t="shared" si="175"/>
        <v>1+0.193709032808822i</v>
      </c>
      <c r="U297" s="160">
        <f t="shared" si="184"/>
        <v>1.0185888225342596</v>
      </c>
      <c r="V297" s="160">
        <f t="shared" si="185"/>
        <v>0.19133930001967892</v>
      </c>
      <c r="W297" s="98" t="str">
        <f t="shared" si="176"/>
        <v>1-0.0274421129812498i</v>
      </c>
      <c r="X297" s="160">
        <f t="shared" si="186"/>
        <v>1.0003764639198964</v>
      </c>
      <c r="Y297" s="160">
        <f t="shared" si="187"/>
        <v>-2.7435227485442523E-2</v>
      </c>
      <c r="Z297" s="98" t="str">
        <f t="shared" si="177"/>
        <v>0.99972964309595+0.0576478081639054i</v>
      </c>
      <c r="AA297" s="160">
        <f t="shared" si="188"/>
        <v>1.0013903480016462</v>
      </c>
      <c r="AB297" s="160">
        <f t="shared" si="189"/>
        <v>5.7599613503244461E-2</v>
      </c>
      <c r="AC297" s="171" t="str">
        <f t="shared" si="190"/>
        <v>0.0333696163464181-0.302840454587864i</v>
      </c>
      <c r="AD297" s="190">
        <f t="shared" si="191"/>
        <v>-10.323309612729762</v>
      </c>
      <c r="AE297" s="169">
        <f t="shared" si="192"/>
        <v>-83.712015470182962</v>
      </c>
      <c r="AF297" s="98" t="str">
        <f t="shared" si="178"/>
        <v>-0.0000673063927557778</v>
      </c>
      <c r="AG297" s="98" t="str">
        <f t="shared" si="179"/>
        <v>0.000390052508463844i</v>
      </c>
      <c r="AH297" s="98">
        <f t="shared" si="193"/>
        <v>3.90052508463844E-4</v>
      </c>
      <c r="AI297" s="98">
        <f t="shared" si="194"/>
        <v>1.5707963267948966</v>
      </c>
      <c r="AJ297" s="98" t="str">
        <f t="shared" si="180"/>
        <v>1+0.392497444308698i</v>
      </c>
      <c r="AK297" s="98">
        <f t="shared" si="195"/>
        <v>1.0742691672894924</v>
      </c>
      <c r="AL297" s="98">
        <f t="shared" si="196"/>
        <v>0.37402197161084733</v>
      </c>
      <c r="AM297" s="98" t="str">
        <f t="shared" si="181"/>
        <v>1+58.1127098426466i</v>
      </c>
      <c r="AN297" s="98">
        <f t="shared" si="197"/>
        <v>58.121313175595354</v>
      </c>
      <c r="AO297" s="98">
        <f t="shared" si="198"/>
        <v>1.5535900854090543</v>
      </c>
      <c r="AP297" s="168" t="str">
        <f t="shared" si="199"/>
        <v>-8.6304797597333+3.55999851049185i</v>
      </c>
      <c r="AQ297" s="98">
        <f t="shared" si="200"/>
        <v>19.403110941613832</v>
      </c>
      <c r="AR297" s="169">
        <f t="shared" si="201"/>
        <v>157.58427456884442</v>
      </c>
      <c r="AS297" s="168" t="str">
        <f t="shared" si="202"/>
        <v>0.790115768781644+2.73245419823792i</v>
      </c>
      <c r="AT297" s="190">
        <f t="shared" si="203"/>
        <v>9.0798013288840522</v>
      </c>
      <c r="AU297" s="169">
        <f t="shared" si="204"/>
        <v>73.872259098661416</v>
      </c>
      <c r="AV297" s="225"/>
      <c r="AX297">
        <f t="shared" si="205"/>
        <v>0</v>
      </c>
      <c r="AY297">
        <f t="shared" si="206"/>
        <v>0</v>
      </c>
    </row>
    <row r="298" spans="14:51" x14ac:dyDescent="0.25">
      <c r="N298" s="170">
        <v>80</v>
      </c>
      <c r="O298" s="199">
        <f t="shared" si="207"/>
        <v>6309.5734448019384</v>
      </c>
      <c r="P298" s="189" t="str">
        <f t="shared" si="173"/>
        <v>87</v>
      </c>
      <c r="Q298" s="160" t="str">
        <f t="shared" si="174"/>
        <v>1+297.331643722126i</v>
      </c>
      <c r="R298" s="160">
        <f t="shared" si="182"/>
        <v>297.33332534127629</v>
      </c>
      <c r="S298" s="160">
        <f t="shared" si="183"/>
        <v>1.5674330916644927</v>
      </c>
      <c r="T298" s="160" t="str">
        <f t="shared" si="175"/>
        <v>1+0.19822109581475i</v>
      </c>
      <c r="U298" s="160">
        <f t="shared" si="184"/>
        <v>1.0194565232642343</v>
      </c>
      <c r="V298" s="160">
        <f t="shared" si="185"/>
        <v>0.19568449137434352</v>
      </c>
      <c r="W298" s="98" t="str">
        <f t="shared" si="176"/>
        <v>1-0.0280813219070896i</v>
      </c>
      <c r="X298" s="160">
        <f t="shared" si="186"/>
        <v>1.000394202622171</v>
      </c>
      <c r="Y298" s="160">
        <f t="shared" si="187"/>
        <v>-2.8073944122414672E-2</v>
      </c>
      <c r="Z298" s="98" t="str">
        <f t="shared" si="177"/>
        <v>0.999716901567606+0.0589905981144696i</v>
      </c>
      <c r="AA298" s="160">
        <f t="shared" si="188"/>
        <v>1.0014558272564182</v>
      </c>
      <c r="AB298" s="160">
        <f t="shared" si="189"/>
        <v>5.8938960616431731E-2</v>
      </c>
      <c r="AC298" s="171" t="str">
        <f t="shared" si="190"/>
        <v>0.033314082707592-0.296109562143827i</v>
      </c>
      <c r="AD298" s="190">
        <f t="shared" si="191"/>
        <v>-10.516325157466003</v>
      </c>
      <c r="AE298" s="169">
        <f t="shared" si="192"/>
        <v>-83.580877554313432</v>
      </c>
      <c r="AF298" s="98" t="str">
        <f t="shared" si="178"/>
        <v>-0.0000673063927557778</v>
      </c>
      <c r="AG298" s="98" t="str">
        <f t="shared" si="179"/>
        <v>0.000399137998532581i</v>
      </c>
      <c r="AH298" s="98">
        <f t="shared" si="193"/>
        <v>3.9913799853258099E-4</v>
      </c>
      <c r="AI298" s="98">
        <f t="shared" si="194"/>
        <v>1.5707963267948966</v>
      </c>
      <c r="AJ298" s="98" t="str">
        <f t="shared" si="180"/>
        <v>1+0.401639884249195i</v>
      </c>
      <c r="AK298" s="98">
        <f t="shared" si="195"/>
        <v>1.0776430747792642</v>
      </c>
      <c r="AL298" s="98">
        <f t="shared" si="196"/>
        <v>0.38191927053073882</v>
      </c>
      <c r="AM298" s="98" t="str">
        <f t="shared" si="181"/>
        <v>1+59.466328744425i</v>
      </c>
      <c r="AN298" s="98">
        <f t="shared" si="197"/>
        <v>59.474736269613054</v>
      </c>
      <c r="AO298" s="98">
        <f t="shared" si="198"/>
        <v>1.5539816726008835</v>
      </c>
      <c r="AP298" s="168" t="str">
        <f t="shared" si="199"/>
        <v>-8.57652338276403+3.61330323753327i</v>
      </c>
      <c r="AQ298" s="98">
        <f t="shared" si="200"/>
        <v>19.375816454860431</v>
      </c>
      <c r="AR298" s="169">
        <f t="shared" si="201"/>
        <v>157.15422896458472</v>
      </c>
      <c r="AS298" s="168" t="str">
        <f t="shared" si="202"/>
        <v>0.784214630241852+2.65996446648934i</v>
      </c>
      <c r="AT298" s="190">
        <f t="shared" si="203"/>
        <v>8.8594912973944187</v>
      </c>
      <c r="AU298" s="169">
        <f t="shared" si="204"/>
        <v>73.573351410271286</v>
      </c>
      <c r="AV298" s="225"/>
      <c r="AX298">
        <f t="shared" si="205"/>
        <v>0</v>
      </c>
      <c r="AY298">
        <f t="shared" si="206"/>
        <v>0</v>
      </c>
    </row>
    <row r="299" spans="14:51" x14ac:dyDescent="0.25">
      <c r="N299" s="170">
        <v>81</v>
      </c>
      <c r="O299" s="199">
        <f t="shared" si="207"/>
        <v>6456.5422903465615</v>
      </c>
      <c r="P299" s="189" t="str">
        <f t="shared" si="173"/>
        <v>87</v>
      </c>
      <c r="Q299" s="160" t="str">
        <f t="shared" si="174"/>
        <v>1+304.25738740417i</v>
      </c>
      <c r="R299" s="160">
        <f t="shared" si="182"/>
        <v>304.25903074520426</v>
      </c>
      <c r="S299" s="160">
        <f t="shared" si="183"/>
        <v>1.5675096476848975</v>
      </c>
      <c r="T299" s="160" t="str">
        <f t="shared" si="175"/>
        <v>1+0.202838258269446i</v>
      </c>
      <c r="U299" s="160">
        <f t="shared" si="184"/>
        <v>1.0203643266097568</v>
      </c>
      <c r="V299" s="160">
        <f t="shared" si="185"/>
        <v>0.20012315879670928</v>
      </c>
      <c r="W299" s="98" t="str">
        <f t="shared" si="176"/>
        <v>1-0.0287354199215049i</v>
      </c>
      <c r="X299" s="160">
        <f t="shared" si="186"/>
        <v>1.0004127769866122</v>
      </c>
      <c r="Y299" s="160">
        <f t="shared" si="187"/>
        <v>-2.8727514658953356E-2</v>
      </c>
      <c r="Z299" s="98" t="str">
        <f t="shared" si="177"/>
        <v>0.999703559549532+0.0603646656609871i</v>
      </c>
      <c r="AA299" s="160">
        <f t="shared" si="188"/>
        <v>1.0015243880387374</v>
      </c>
      <c r="AB299" s="160">
        <f t="shared" si="189"/>
        <v>6.030933958483143E-2</v>
      </c>
      <c r="AC299" s="171" t="str">
        <f t="shared" si="190"/>
        <v>0.0332602058361763-0.289535610328224i</v>
      </c>
      <c r="AD299" s="190">
        <f t="shared" si="191"/>
        <v>-10.709025152311394</v>
      </c>
      <c r="AE299" s="169">
        <f t="shared" si="192"/>
        <v>-83.446910745795762</v>
      </c>
      <c r="AF299" s="98" t="str">
        <f t="shared" si="178"/>
        <v>-0.0000673063927557778</v>
      </c>
      <c r="AG299" s="98" t="str">
        <f t="shared" si="179"/>
        <v>0.000408435116851356i</v>
      </c>
      <c r="AH299" s="98">
        <f t="shared" si="193"/>
        <v>4.0843511685135603E-4</v>
      </c>
      <c r="AI299" s="98">
        <f t="shared" si="194"/>
        <v>1.5707963267948966</v>
      </c>
      <c r="AJ299" s="98" t="str">
        <f t="shared" si="180"/>
        <v>1+0.410995278972656i</v>
      </c>
      <c r="AK299" s="98">
        <f t="shared" si="195"/>
        <v>1.0811647050000344</v>
      </c>
      <c r="AL299" s="98">
        <f t="shared" si="196"/>
        <v>0.38994898275670958</v>
      </c>
      <c r="AM299" s="98" t="str">
        <f t="shared" si="181"/>
        <v>1+60.8514774808338i</v>
      </c>
      <c r="AN299" s="98">
        <f t="shared" si="197"/>
        <v>60.859693653520985</v>
      </c>
      <c r="AO299" s="98">
        <f t="shared" si="198"/>
        <v>1.5543643511634029</v>
      </c>
      <c r="AP299" s="168" t="str">
        <f t="shared" si="199"/>
        <v>-8.52074251277667+3.6667758516218i</v>
      </c>
      <c r="AQ299" s="98">
        <f t="shared" si="200"/>
        <v>19.347422851628199</v>
      </c>
      <c r="AR299" s="169">
        <f t="shared" si="201"/>
        <v>156.7160862098745</v>
      </c>
      <c r="AS299" s="168" t="str">
        <f t="shared" si="202"/>
        <v>0.778260534284101+2.5890161034665i</v>
      </c>
      <c r="AT299" s="190">
        <f t="shared" si="203"/>
        <v>8.6383976993168048</v>
      </c>
      <c r="AU299" s="169">
        <f t="shared" si="204"/>
        <v>73.269175464078756</v>
      </c>
      <c r="AV299" s="225"/>
      <c r="AX299">
        <f t="shared" si="205"/>
        <v>0</v>
      </c>
      <c r="AY299">
        <f t="shared" si="206"/>
        <v>0</v>
      </c>
    </row>
    <row r="300" spans="14:51" x14ac:dyDescent="0.25">
      <c r="N300" s="170">
        <v>82</v>
      </c>
      <c r="O300" s="199">
        <f t="shared" si="207"/>
        <v>6606.9344800759654</v>
      </c>
      <c r="P300" s="189" t="str">
        <f t="shared" si="173"/>
        <v>87</v>
      </c>
      <c r="Q300" s="160" t="str">
        <f t="shared" si="174"/>
        <v>1+311.344452380337i</v>
      </c>
      <c r="R300" s="160">
        <f t="shared" si="182"/>
        <v>311.34605831455764</v>
      </c>
      <c r="S300" s="160">
        <f t="shared" si="183"/>
        <v>1.5675844611147518</v>
      </c>
      <c r="T300" s="160" t="str">
        <f t="shared" si="175"/>
        <v>1+0.207562968253557i</v>
      </c>
      <c r="U300" s="160">
        <f t="shared" si="184"/>
        <v>1.0213140485620607</v>
      </c>
      <c r="V300" s="160">
        <f t="shared" si="185"/>
        <v>0.20465695579726473</v>
      </c>
      <c r="W300" s="98" t="str">
        <f t="shared" si="176"/>
        <v>1-0.0294047538359207i</v>
      </c>
      <c r="X300" s="160">
        <f t="shared" si="186"/>
        <v>1.0004322263642607</v>
      </c>
      <c r="Y300" s="160">
        <f t="shared" si="187"/>
        <v>-2.9396283392125019E-2</v>
      </c>
      <c r="Z300" s="98" t="str">
        <f t="shared" si="177"/>
        <v>0.999689588741518+0.0617707393522587i</v>
      </c>
      <c r="AA300" s="160">
        <f t="shared" si="188"/>
        <v>1.0015961751515976</v>
      </c>
      <c r="AB300" s="160">
        <f t="shared" si="189"/>
        <v>6.1711461441506375E-2</v>
      </c>
      <c r="AC300" s="171" t="str">
        <f t="shared" si="190"/>
        <v>0.0332078718193576-0.283115111173455i</v>
      </c>
      <c r="AD300" s="190">
        <f t="shared" si="191"/>
        <v>-10.901395956928511</v>
      </c>
      <c r="AE300" s="169">
        <f t="shared" si="192"/>
        <v>-83.310083096907974</v>
      </c>
      <c r="AF300" s="98" t="str">
        <f t="shared" si="178"/>
        <v>-0.0000673063927557778</v>
      </c>
      <c r="AG300" s="98" t="str">
        <f t="shared" si="179"/>
        <v>0.000417948792875363i</v>
      </c>
      <c r="AH300" s="98">
        <f t="shared" si="193"/>
        <v>4.1794879287536298E-4</v>
      </c>
      <c r="AI300" s="98">
        <f t="shared" si="194"/>
        <v>1.5707963267948966</v>
      </c>
      <c r="AJ300" s="98" t="str">
        <f t="shared" si="180"/>
        <v>1+0.420568588833191i</v>
      </c>
      <c r="AK300" s="98">
        <f t="shared" si="195"/>
        <v>1.0848400517648404</v>
      </c>
      <c r="AL300" s="98">
        <f t="shared" si="196"/>
        <v>0.39811122289729817</v>
      </c>
      <c r="AM300" s="98" t="str">
        <f t="shared" si="181"/>
        <v>1+62.2688904760672i</v>
      </c>
      <c r="AN300" s="98">
        <f t="shared" si="197"/>
        <v>62.276919650223974</v>
      </c>
      <c r="AO300" s="98">
        <f t="shared" si="198"/>
        <v>1.5547383235492693</v>
      </c>
      <c r="AP300" s="168" t="str">
        <f t="shared" si="199"/>
        <v>-8.4631051970567+3.72035601643093i</v>
      </c>
      <c r="AQ300" s="98">
        <f t="shared" si="200"/>
        <v>19.317893054738363</v>
      </c>
      <c r="AR300" s="169">
        <f t="shared" si="201"/>
        <v>156.26985133781105</v>
      </c>
      <c r="AS300" s="168" t="str">
        <f t="shared" si="202"/>
        <v>0.772247294619077+2.51957807445337i</v>
      </c>
      <c r="AT300" s="190">
        <f t="shared" si="203"/>
        <v>8.4164970978098612</v>
      </c>
      <c r="AU300" s="169">
        <f t="shared" si="204"/>
        <v>72.959768240903088</v>
      </c>
      <c r="AV300" s="225"/>
      <c r="AX300">
        <f t="shared" si="205"/>
        <v>0</v>
      </c>
      <c r="AY300">
        <f t="shared" si="206"/>
        <v>0</v>
      </c>
    </row>
    <row r="301" spans="14:51" x14ac:dyDescent="0.25">
      <c r="N301" s="170">
        <v>83</v>
      </c>
      <c r="O301" s="199">
        <f t="shared" si="207"/>
        <v>6760.8297539198229</v>
      </c>
      <c r="P301" s="189" t="str">
        <f t="shared" si="173"/>
        <v>87</v>
      </c>
      <c r="Q301" s="160" t="str">
        <f t="shared" si="174"/>
        <v>1+318.596596306288i</v>
      </c>
      <c r="R301" s="160">
        <f t="shared" si="182"/>
        <v>318.59816568516504</v>
      </c>
      <c r="S301" s="160">
        <f t="shared" si="183"/>
        <v>1.5676575716177745</v>
      </c>
      <c r="T301" s="160" t="str">
        <f t="shared" si="175"/>
        <v>1+0.212397730870858i</v>
      </c>
      <c r="U301" s="160">
        <f t="shared" si="184"/>
        <v>1.0223075838900391</v>
      </c>
      <c r="V301" s="160">
        <f t="shared" si="185"/>
        <v>0.2092875403545498</v>
      </c>
      <c r="W301" s="98" t="str">
        <f t="shared" si="176"/>
        <v>1-0.0300896785400383i</v>
      </c>
      <c r="X301" s="160">
        <f t="shared" si="186"/>
        <v>1.0004525919575813</v>
      </c>
      <c r="Y301" s="160">
        <f t="shared" si="187"/>
        <v>-3.0080602517731838E-2</v>
      </c>
      <c r="Z301" s="98" t="str">
        <f t="shared" si="177"/>
        <v>0.999674959509607+0.0632095647071673i</v>
      </c>
      <c r="AA301" s="160">
        <f t="shared" si="188"/>
        <v>1.0016713401815007</v>
      </c>
      <c r="AB301" s="160">
        <f t="shared" si="189"/>
        <v>6.3146052944118361E-2</v>
      </c>
      <c r="AC301" s="171" t="str">
        <f t="shared" si="190"/>
        <v>0.0331569700509857-0.276844657777866i</v>
      </c>
      <c r="AD301" s="190">
        <f t="shared" si="191"/>
        <v>-11.093423400807401</v>
      </c>
      <c r="AE301" s="169">
        <f t="shared" si="192"/>
        <v>-83.170363704520753</v>
      </c>
      <c r="AF301" s="98" t="str">
        <f t="shared" si="178"/>
        <v>-0.0000673063927557778</v>
      </c>
      <c r="AG301" s="98" t="str">
        <f t="shared" si="179"/>
        <v>0.00042768407088156i</v>
      </c>
      <c r="AH301" s="98">
        <f t="shared" si="193"/>
        <v>4.2768407088156001E-4</v>
      </c>
      <c r="AI301" s="98">
        <f t="shared" si="194"/>
        <v>1.5707963267948966</v>
      </c>
      <c r="AJ301" s="98" t="str">
        <f t="shared" si="180"/>
        <v>1+0.430364889726411i</v>
      </c>
      <c r="AK301" s="98">
        <f t="shared" si="195"/>
        <v>1.0886753135389935</v>
      </c>
      <c r="AL301" s="98">
        <f t="shared" si="196"/>
        <v>0.40640596734213963</v>
      </c>
      <c r="AM301" s="98" t="str">
        <f t="shared" si="181"/>
        <v>1+63.7193192612574i</v>
      </c>
      <c r="AN301" s="98">
        <f t="shared" si="197"/>
        <v>63.727165691862112</v>
      </c>
      <c r="AO301" s="98">
        <f t="shared" si="198"/>
        <v>1.5551037876249361</v>
      </c>
      <c r="AP301" s="168" t="str">
        <f t="shared" si="199"/>
        <v>-8.40358138789916+3.77398047033409i</v>
      </c>
      <c r="AQ301" s="98">
        <f t="shared" si="200"/>
        <v>19.287189369413124</v>
      </c>
      <c r="AR301" s="169">
        <f t="shared" si="201"/>
        <v>155.8155370380814</v>
      </c>
      <c r="AS301" s="168" t="str">
        <f t="shared" si="202"/>
        <v>0.766169035370397+2.45162037086926i</v>
      </c>
      <c r="AT301" s="190">
        <f t="shared" si="203"/>
        <v>8.1937659686057245</v>
      </c>
      <c r="AU301" s="169">
        <f t="shared" si="204"/>
        <v>72.645173333560663</v>
      </c>
      <c r="AV301" s="225"/>
      <c r="AX301">
        <f t="shared" si="205"/>
        <v>0</v>
      </c>
      <c r="AY301">
        <f t="shared" si="206"/>
        <v>0</v>
      </c>
    </row>
    <row r="302" spans="14:51" x14ac:dyDescent="0.25">
      <c r="N302" s="170">
        <v>84</v>
      </c>
      <c r="O302" s="199">
        <f t="shared" si="207"/>
        <v>6918.3097091893687</v>
      </c>
      <c r="P302" s="189" t="str">
        <f t="shared" si="173"/>
        <v>87</v>
      </c>
      <c r="Q302" s="160" t="str">
        <f t="shared" si="174"/>
        <v>1+326.017664364725i</v>
      </c>
      <c r="R302" s="160">
        <f t="shared" si="182"/>
        <v>326.0191980203474</v>
      </c>
      <c r="S302" s="160">
        <f t="shared" si="183"/>
        <v>1.5677290179549943</v>
      </c>
      <c r="T302" s="160" t="str">
        <f t="shared" si="175"/>
        <v>1+0.217345109576483i</v>
      </c>
      <c r="U302" s="160">
        <f t="shared" si="184"/>
        <v>1.0233469092428107</v>
      </c>
      <c r="V302" s="160">
        <f t="shared" si="185"/>
        <v>0.21401657297111809</v>
      </c>
      <c r="W302" s="98" t="str">
        <f t="shared" si="176"/>
        <v>1-0.0307905571900018i</v>
      </c>
      <c r="X302" s="160">
        <f t="shared" si="186"/>
        <v>1.0004739169074177</v>
      </c>
      <c r="Y302" s="160">
        <f t="shared" si="187"/>
        <v>-3.0780832305672308E-2</v>
      </c>
      <c r="Z302" s="98" t="str">
        <f t="shared" si="177"/>
        <v>0.999659640823237+0.0646819046099612i</v>
      </c>
      <c r="AA302" s="160">
        <f t="shared" si="188"/>
        <v>1.0017500418142318</v>
      </c>
      <c r="AB302" s="160">
        <f t="shared" si="189"/>
        <v>6.4613856882013182E-2</v>
      </c>
      <c r="AC302" s="171" t="str">
        <f t="shared" si="190"/>
        <v>0.0331073930003188-0.270720922487096i</v>
      </c>
      <c r="AD302" s="190">
        <f t="shared" si="191"/>
        <v>-11.285092768048301</v>
      </c>
      <c r="AE302" s="169">
        <f t="shared" si="192"/>
        <v>-83.027722850328388</v>
      </c>
      <c r="AF302" s="98" t="str">
        <f t="shared" si="178"/>
        <v>-0.0000673063927557778</v>
      </c>
      <c r="AG302" s="98" t="str">
        <f t="shared" si="179"/>
        <v>0.000437646112643205i</v>
      </c>
      <c r="AH302" s="98">
        <f t="shared" si="193"/>
        <v>4.3764611264320502E-4</v>
      </c>
      <c r="AI302" s="98">
        <f t="shared" si="194"/>
        <v>1.5707963267948966</v>
      </c>
      <c r="AJ302" s="98" t="str">
        <f t="shared" si="180"/>
        <v>1+0.440389375780715i</v>
      </c>
      <c r="AK302" s="98">
        <f t="shared" si="195"/>
        <v>1.0926768974864105</v>
      </c>
      <c r="AL302" s="98">
        <f t="shared" si="196"/>
        <v>0.41483304741088778</v>
      </c>
      <c r="AM302" s="98" t="str">
        <f t="shared" si="181"/>
        <v>1+65.2035328729447i</v>
      </c>
      <c r="AN302" s="98">
        <f t="shared" si="197"/>
        <v>65.211200718229236</v>
      </c>
      <c r="AO302" s="98">
        <f t="shared" si="198"/>
        <v>1.5554609367735666</v>
      </c>
      <c r="AP302" s="168" t="str">
        <f t="shared" si="199"/>
        <v>-8.34214316922279+3.82758304428456i</v>
      </c>
      <c r="AQ302" s="98">
        <f t="shared" si="200"/>
        <v>19.255273523555211</v>
      </c>
      <c r="AR302" s="169">
        <f t="shared" si="201"/>
        <v>155.35316405539643</v>
      </c>
      <c r="AS302" s="168" t="str">
        <f t="shared" si="202"/>
        <v>0.760020200276299+2.38511399037991i</v>
      </c>
      <c r="AT302" s="190">
        <f t="shared" si="203"/>
        <v>7.9701807555069228</v>
      </c>
      <c r="AU302" s="169">
        <f t="shared" si="204"/>
        <v>72.325441205068088</v>
      </c>
      <c r="AV302" s="225"/>
      <c r="AX302">
        <f t="shared" si="205"/>
        <v>0</v>
      </c>
      <c r="AY302">
        <f t="shared" si="206"/>
        <v>0</v>
      </c>
    </row>
    <row r="303" spans="14:51" x14ac:dyDescent="0.25">
      <c r="N303" s="170">
        <v>85</v>
      </c>
      <c r="O303" s="199">
        <f t="shared" si="207"/>
        <v>7079.4578438413828</v>
      </c>
      <c r="P303" s="189" t="str">
        <f t="shared" si="173"/>
        <v>87</v>
      </c>
      <c r="Q303" s="160" t="str">
        <f t="shared" si="174"/>
        <v>1+333.611591304161i</v>
      </c>
      <c r="R303" s="160">
        <f t="shared" si="182"/>
        <v>333.61309004967796</v>
      </c>
      <c r="S303" s="160">
        <f t="shared" si="183"/>
        <v>1.5677988380052856</v>
      </c>
      <c r="T303" s="160" t="str">
        <f t="shared" si="175"/>
        <v>1+0.222407727536107i</v>
      </c>
      <c r="U303" s="160">
        <f t="shared" si="184"/>
        <v>1.0244340863461032</v>
      </c>
      <c r="V303" s="160">
        <f t="shared" si="185"/>
        <v>0.21884571458006599</v>
      </c>
      <c r="W303" s="98" t="str">
        <f t="shared" si="176"/>
        <v>1-0.0315077614009486i</v>
      </c>
      <c r="X303" s="160">
        <f t="shared" si="186"/>
        <v>1.0004962463840128</v>
      </c>
      <c r="Y303" s="160">
        <f t="shared" si="187"/>
        <v>-3.1497341278774169E-2</v>
      </c>
      <c r="Z303" s="98" t="str">
        <f t="shared" si="177"/>
        <v>0.999643600189421+0.0661885397147455i</v>
      </c>
      <c r="AA303" s="160">
        <f t="shared" si="188"/>
        <v>1.0018324461651447</v>
      </c>
      <c r="AB303" s="160">
        <f t="shared" si="189"/>
        <v>6.611563238631199E-2</v>
      </c>
      <c r="AC303" s="171" t="str">
        <f t="shared" si="190"/>
        <v>0.0330590359876002-0.264740655116015i</v>
      </c>
      <c r="AD303" s="190">
        <f t="shared" si="191"/>
        <v>-11.476388782230666</v>
      </c>
      <c r="AE303" s="169">
        <f t="shared" si="192"/>
        <v>-82.882132149986205</v>
      </c>
      <c r="AF303" s="98" t="str">
        <f t="shared" si="178"/>
        <v>-0.0000673063927557778</v>
      </c>
      <c r="AG303" s="98" t="str">
        <f t="shared" si="179"/>
        <v>0.000447840200166705i</v>
      </c>
      <c r="AH303" s="98">
        <f t="shared" si="193"/>
        <v>4.4784020016670501E-4</v>
      </c>
      <c r="AI303" s="98">
        <f t="shared" si="194"/>
        <v>1.5707963267948966</v>
      </c>
      <c r="AJ303" s="98" t="str">
        <f t="shared" si="180"/>
        <v>1+0.450647362111301i</v>
      </c>
      <c r="AK303" s="98">
        <f t="shared" si="195"/>
        <v>1.0968514233832556</v>
      </c>
      <c r="AL303" s="98">
        <f t="shared" si="196"/>
        <v>0.42339214256485408</v>
      </c>
      <c r="AM303" s="98" t="str">
        <f t="shared" si="181"/>
        <v>1+66.7223182608321i</v>
      </c>
      <c r="AN303" s="98">
        <f t="shared" si="197"/>
        <v>66.729811584476749</v>
      </c>
      <c r="AO303" s="98">
        <f t="shared" si="198"/>
        <v>1.5558099599957067</v>
      </c>
      <c r="AP303" s="168" t="str">
        <f t="shared" si="199"/>
        <v>-8.27876498985758+3.88109469628844i</v>
      </c>
      <c r="AQ303" s="98">
        <f t="shared" si="200"/>
        <v>19.222106712657524</v>
      </c>
      <c r="AR303" s="169">
        <f t="shared" si="201"/>
        <v>154.88276158420402</v>
      </c>
      <c r="AS303" s="168" t="str">
        <f t="shared" si="202"/>
        <v>0.753795562730107+2.32003091620231i</v>
      </c>
      <c r="AT303" s="190">
        <f t="shared" si="203"/>
        <v>7.7457179304268644</v>
      </c>
      <c r="AU303" s="169">
        <f t="shared" si="204"/>
        <v>72.000629434217814</v>
      </c>
      <c r="AV303" s="225"/>
      <c r="AX303">
        <f t="shared" si="205"/>
        <v>0</v>
      </c>
      <c r="AY303">
        <f t="shared" si="206"/>
        <v>0</v>
      </c>
    </row>
    <row r="304" spans="14:51" x14ac:dyDescent="0.25">
      <c r="N304" s="170">
        <v>86</v>
      </c>
      <c r="O304" s="199">
        <f t="shared" si="207"/>
        <v>7244.3596007499036</v>
      </c>
      <c r="P304" s="189" t="str">
        <f t="shared" si="173"/>
        <v>87</v>
      </c>
      <c r="Q304" s="160" t="str">
        <f t="shared" si="174"/>
        <v>1+341.38240352518i</v>
      </c>
      <c r="R304" s="160">
        <f t="shared" si="182"/>
        <v>341.38386815523199</v>
      </c>
      <c r="S304" s="160">
        <f t="shared" si="183"/>
        <v>1.5678670687854386</v>
      </c>
      <c r="T304" s="160" t="str">
        <f t="shared" si="175"/>
        <v>1+0.227588269016786i</v>
      </c>
      <c r="U304" s="160">
        <f t="shared" si="184"/>
        <v>1.0255712652926938</v>
      </c>
      <c r="V304" s="160">
        <f t="shared" si="185"/>
        <v>0.22377662429556583</v>
      </c>
      <c r="W304" s="98" t="str">
        <f t="shared" si="176"/>
        <v>1-0.0322416714440448i</v>
      </c>
      <c r="X304" s="160">
        <f t="shared" si="186"/>
        <v>1.0005196276822887</v>
      </c>
      <c r="Y304" s="160">
        <f t="shared" si="187"/>
        <v>-3.2230506395135833E-2</v>
      </c>
      <c r="Z304" s="98" t="str">
        <f t="shared" si="177"/>
        <v>0.999626803583822+0.0677302688593955i</v>
      </c>
      <c r="AA304" s="160">
        <f t="shared" si="188"/>
        <v>1.0019187271245982</v>
      </c>
      <c r="AB304" s="160">
        <f t="shared" si="189"/>
        <v>6.7652155242792791E-2</v>
      </c>
      <c r="AC304" s="171" t="str">
        <f t="shared" si="190"/>
        <v>0.0330117969660254-0.258900681210259i</v>
      </c>
      <c r="AD304" s="190">
        <f t="shared" si="191"/>
        <v>-11.667295591430911</v>
      </c>
      <c r="AE304" s="169">
        <f t="shared" si="192"/>
        <v>-82.733564711519094</v>
      </c>
      <c r="AF304" s="98" t="str">
        <f t="shared" si="178"/>
        <v>-0.0000673063927557778</v>
      </c>
      <c r="AG304" s="98" t="str">
        <f t="shared" si="179"/>
        <v>0.0004582717384922i</v>
      </c>
      <c r="AH304" s="98">
        <f t="shared" si="193"/>
        <v>4.5827173849220001E-4</v>
      </c>
      <c r="AI304" s="98">
        <f t="shared" si="194"/>
        <v>1.5707963267948966</v>
      </c>
      <c r="AJ304" s="98" t="str">
        <f t="shared" si="180"/>
        <v>1+0.461144287638303i</v>
      </c>
      <c r="AK304" s="98">
        <f t="shared" si="195"/>
        <v>1.1012057273831435</v>
      </c>
      <c r="AL304" s="98">
        <f t="shared" si="196"/>
        <v>0.43208277372104231</v>
      </c>
      <c r="AM304" s="98" t="str">
        <f t="shared" si="181"/>
        <v>1+68.2764807050358i</v>
      </c>
      <c r="AN304" s="98">
        <f t="shared" si="197"/>
        <v>68.283803478314866</v>
      </c>
      <c r="AO304" s="98">
        <f t="shared" si="198"/>
        <v>1.5561510420077578</v>
      </c>
      <c r="AP304" s="168" t="str">
        <f t="shared" si="199"/>
        <v>-8.21342390241002+3.93444356369691i</v>
      </c>
      <c r="AQ304" s="98">
        <f t="shared" si="200"/>
        <v>19.187649649465218</v>
      </c>
      <c r="AR304" s="169">
        <f t="shared" si="201"/>
        <v>154.4043676574079</v>
      </c>
      <c r="AS304" s="168" t="str">
        <f t="shared" si="202"/>
        <v>0.747490236562189+2.25634409550163i</v>
      </c>
      <c r="AT304" s="190">
        <f t="shared" si="203"/>
        <v>7.5203540580343242</v>
      </c>
      <c r="AU304" s="169">
        <f t="shared" si="204"/>
        <v>71.670802945888852</v>
      </c>
      <c r="AV304" s="225"/>
      <c r="AX304">
        <f t="shared" si="205"/>
        <v>0</v>
      </c>
      <c r="AY304">
        <f t="shared" si="206"/>
        <v>0</v>
      </c>
    </row>
    <row r="305" spans="14:51" x14ac:dyDescent="0.25">
      <c r="N305" s="170">
        <v>87</v>
      </c>
      <c r="O305" s="199">
        <f t="shared" si="207"/>
        <v>7413.1024130091773</v>
      </c>
      <c r="P305" s="189" t="str">
        <f t="shared" si="173"/>
        <v>87</v>
      </c>
      <c r="Q305" s="160" t="str">
        <f t="shared" si="174"/>
        <v>1+349.334221215277i</v>
      </c>
      <c r="R305" s="160">
        <f t="shared" si="182"/>
        <v>349.33565250641698</v>
      </c>
      <c r="S305" s="160">
        <f t="shared" si="183"/>
        <v>1.5679337464697733</v>
      </c>
      <c r="T305" s="160" t="str">
        <f t="shared" si="175"/>
        <v>1+0.232889480810184i</v>
      </c>
      <c r="U305" s="160">
        <f t="shared" si="184"/>
        <v>1.0267606879268592</v>
      </c>
      <c r="V305" s="160">
        <f t="shared" si="185"/>
        <v>0.22881095700088713</v>
      </c>
      <c r="W305" s="98" t="str">
        <f t="shared" si="176"/>
        <v>1-0.0329926764481095i</v>
      </c>
      <c r="X305" s="160">
        <f t="shared" si="186"/>
        <v>1.0005441103215837</v>
      </c>
      <c r="Y305" s="160">
        <f t="shared" si="187"/>
        <v>-3.298071323401125E-2</v>
      </c>
      <c r="Z305" s="98" t="str">
        <f t="shared" si="177"/>
        <v>0.99960921537859+0.0693079094891108i</v>
      </c>
      <c r="AA305" s="160">
        <f t="shared" si="188"/>
        <v>1.0020090667192345</v>
      </c>
      <c r="AB305" s="160">
        <f t="shared" si="189"/>
        <v>6.9224218207319582E-2</v>
      </c>
      <c r="AC305" s="171" t="str">
        <f t="shared" si="190"/>
        <v>0.0329655763096634-0.253197900346394i</v>
      </c>
      <c r="AD305" s="190">
        <f t="shared" si="191"/>
        <v>-11.85779675345726</v>
      </c>
      <c r="AE305" s="169">
        <f t="shared" si="192"/>
        <v>-82.581995303365247</v>
      </c>
      <c r="AF305" s="98" t="str">
        <f t="shared" si="178"/>
        <v>-0.0000673063927557778</v>
      </c>
      <c r="AG305" s="98" t="str">
        <f t="shared" si="179"/>
        <v>0.000468946258559386i</v>
      </c>
      <c r="AH305" s="98">
        <f t="shared" si="193"/>
        <v>4.6894625855938601E-4</v>
      </c>
      <c r="AI305" s="98">
        <f t="shared" si="194"/>
        <v>1.5707963267948966</v>
      </c>
      <c r="AJ305" s="98" t="str">
        <f t="shared" si="180"/>
        <v>1+0.471885717970575i</v>
      </c>
      <c r="AK305" s="98">
        <f t="shared" si="195"/>
        <v>1.1057468656182594</v>
      </c>
      <c r="AL305" s="98">
        <f t="shared" si="196"/>
        <v>0.44090429671111681</v>
      </c>
      <c r="AM305" s="98" t="str">
        <f t="shared" si="181"/>
        <v>1+69.8668442430552i</v>
      </c>
      <c r="AN305" s="98">
        <f t="shared" si="197"/>
        <v>69.874000346934011</v>
      </c>
      <c r="AO305" s="98">
        <f t="shared" si="198"/>
        <v>1.556484363338291</v>
      </c>
      <c r="AP305" s="168" t="str">
        <f t="shared" si="199"/>
        <v>-8.14609980644406+3.98755503449548i</v>
      </c>
      <c r="AQ305" s="98">
        <f t="shared" si="200"/>
        <v>19.151862618489595</v>
      </c>
      <c r="AR305" s="169">
        <f t="shared" si="201"/>
        <v>153.91802952666021</v>
      </c>
      <c r="AS305" s="168" t="str">
        <f t="shared" si="202"/>
        <v>0.741099687454482+2.19402741678245i</v>
      </c>
      <c r="AT305" s="190">
        <f t="shared" si="203"/>
        <v>7.2940658650323513</v>
      </c>
      <c r="AU305" s="169">
        <f t="shared" si="204"/>
        <v>71.336034223295002</v>
      </c>
      <c r="AV305" s="225"/>
      <c r="AX305">
        <f t="shared" si="205"/>
        <v>0</v>
      </c>
      <c r="AY305">
        <f t="shared" si="206"/>
        <v>0</v>
      </c>
    </row>
    <row r="306" spans="14:51" x14ac:dyDescent="0.25">
      <c r="N306" s="170">
        <v>88</v>
      </c>
      <c r="O306" s="199">
        <f t="shared" si="207"/>
        <v>7585.7757502918394</v>
      </c>
      <c r="P306" s="189" t="str">
        <f t="shared" si="173"/>
        <v>87</v>
      </c>
      <c r="Q306" s="160" t="str">
        <f t="shared" si="174"/>
        <v>1+357.471260533448i</v>
      </c>
      <c r="R306" s="160">
        <f t="shared" si="182"/>
        <v>357.47265924455297</v>
      </c>
      <c r="S306" s="160">
        <f t="shared" si="183"/>
        <v>1.5679989064093078</v>
      </c>
      <c r="T306" s="160" t="str">
        <f t="shared" si="175"/>
        <v>1+0.238314173688965i</v>
      </c>
      <c r="U306" s="160">
        <f t="shared" si="184"/>
        <v>1.0280046913224932</v>
      </c>
      <c r="V306" s="160">
        <f t="shared" si="185"/>
        <v>0.23395036076750969</v>
      </c>
      <c r="W306" s="98" t="str">
        <f t="shared" si="176"/>
        <v>1-0.0337611746059367i</v>
      </c>
      <c r="X306" s="160">
        <f t="shared" si="186"/>
        <v>1.0005697461500485</v>
      </c>
      <c r="Y306" s="160">
        <f t="shared" si="187"/>
        <v>-3.3748356185272534E-2</v>
      </c>
      <c r="Z306" s="98" t="str">
        <f t="shared" si="177"/>
        <v>0.999590798266782+0.0709222980898359i</v>
      </c>
      <c r="AA306" s="160">
        <f t="shared" si="188"/>
        <v>1.0021036554897731</v>
      </c>
      <c r="AB306" s="160">
        <f t="shared" si="189"/>
        <v>7.0832631323555717E-2</v>
      </c>
      <c r="AC306" s="171" t="str">
        <f t="shared" si="190"/>
        <v>0.0329202766069237-0.247629284469687i</v>
      </c>
      <c r="AD306" s="190">
        <f t="shared" si="191"/>
        <v>-12.047875221378721</v>
      </c>
      <c r="AE306" s="169">
        <f t="shared" si="192"/>
        <v>-82.427400532406836</v>
      </c>
      <c r="AF306" s="98" t="str">
        <f t="shared" si="178"/>
        <v>-0.0000673063927557778</v>
      </c>
      <c r="AG306" s="98" t="str">
        <f t="shared" si="179"/>
        <v>0.000479869420140099i</v>
      </c>
      <c r="AH306" s="98">
        <f t="shared" si="193"/>
        <v>4.7986942014009899E-4</v>
      </c>
      <c r="AI306" s="98">
        <f t="shared" si="194"/>
        <v>1.5707963267948966</v>
      </c>
      <c r="AJ306" s="98" t="str">
        <f t="shared" si="180"/>
        <v>1+0.482877348356662i</v>
      </c>
      <c r="AK306" s="98">
        <f t="shared" si="195"/>
        <v>1.1104821176209732</v>
      </c>
      <c r="AL306" s="98">
        <f t="shared" si="196"/>
        <v>0.44985589593047531</v>
      </c>
      <c r="AM306" s="98" t="str">
        <f t="shared" si="181"/>
        <v>1+71.4942521066893i</v>
      </c>
      <c r="AN306" s="98">
        <f t="shared" si="197"/>
        <v>71.501245333874067</v>
      </c>
      <c r="AO306" s="98">
        <f t="shared" si="198"/>
        <v>1.5568101004222541</v>
      </c>
      <c r="AP306" s="168" t="str">
        <f t="shared" si="199"/>
        <v>-8.07677569454519+4.04035183869905i</v>
      </c>
      <c r="AQ306" s="98">
        <f t="shared" si="200"/>
        <v>19.114705535445786</v>
      </c>
      <c r="AR306" s="169">
        <f t="shared" si="201"/>
        <v>153.42380403164049</v>
      </c>
      <c r="AS306" s="168" t="str">
        <f t="shared" si="202"/>
        <v>0.734619744866324+2.13305568618165i</v>
      </c>
      <c r="AT306" s="190">
        <f t="shared" si="203"/>
        <v>7.0668303140670634</v>
      </c>
      <c r="AU306" s="169">
        <f t="shared" si="204"/>
        <v>70.996403499233637</v>
      </c>
      <c r="AV306" s="225"/>
      <c r="AX306">
        <f t="shared" si="205"/>
        <v>0</v>
      </c>
      <c r="AY306">
        <f t="shared" si="206"/>
        <v>0</v>
      </c>
    </row>
    <row r="307" spans="14:51" x14ac:dyDescent="0.25">
      <c r="N307" s="170">
        <v>89</v>
      </c>
      <c r="O307" s="199">
        <f t="shared" si="207"/>
        <v>7762.4711662869322</v>
      </c>
      <c r="P307" s="189" t="str">
        <f t="shared" si="173"/>
        <v>87</v>
      </c>
      <c r="Q307" s="160" t="str">
        <f t="shared" si="174"/>
        <v>1+365.797835845645i</v>
      </c>
      <c r="R307" s="160">
        <f t="shared" si="182"/>
        <v>365.7992027183185</v>
      </c>
      <c r="S307" s="160">
        <f t="shared" si="183"/>
        <v>1.5680625831504902</v>
      </c>
      <c r="T307" s="160" t="str">
        <f t="shared" si="175"/>
        <v>1+0.243865223897096i</v>
      </c>
      <c r="U307" s="160">
        <f t="shared" si="184"/>
        <v>1.0293057113542026</v>
      </c>
      <c r="V307" s="160">
        <f t="shared" si="185"/>
        <v>0.23919647409902642</v>
      </c>
      <c r="W307" s="98" t="str">
        <f t="shared" si="176"/>
        <v>1-0.034547573385422i</v>
      </c>
      <c r="X307" s="160">
        <f t="shared" si="186"/>
        <v>1.0005965894539222</v>
      </c>
      <c r="Y307" s="160">
        <f t="shared" si="187"/>
        <v>-3.4533838642478387E-2</v>
      </c>
      <c r="Z307" s="98" t="str">
        <f t="shared" si="177"/>
        <v>0.999571513183236+0.0725742906317758i</v>
      </c>
      <c r="AA307" s="160">
        <f t="shared" si="188"/>
        <v>1.0022026928860897</v>
      </c>
      <c r="AB307" s="160">
        <f t="shared" si="189"/>
        <v>7.2478222242663481E-2</v>
      </c>
      <c r="AC307" s="171" t="str">
        <f t="shared" si="190"/>
        <v>0.032875802459166-0.242191876268588i</v>
      </c>
      <c r="AD307" s="190">
        <f t="shared" si="191"/>
        <v>-12.237513329428573</v>
      </c>
      <c r="AE307" s="169">
        <f t="shared" si="192"/>
        <v>-82.269759032335941</v>
      </c>
      <c r="AF307" s="98" t="str">
        <f t="shared" si="178"/>
        <v>-0.0000673063927557778</v>
      </c>
      <c r="AG307" s="98" t="str">
        <f t="shared" si="179"/>
        <v>0.000491047014839193i</v>
      </c>
      <c r="AH307" s="98">
        <f t="shared" si="193"/>
        <v>4.9104701483919301E-4</v>
      </c>
      <c r="AI307" s="98">
        <f t="shared" si="194"/>
        <v>1.5707963267948966</v>
      </c>
      <c r="AJ307" s="98" t="str">
        <f t="shared" si="180"/>
        <v>1+0.494125006704485i</v>
      </c>
      <c r="AK307" s="98">
        <f t="shared" si="195"/>
        <v>1.1154189895508806</v>
      </c>
      <c r="AL307" s="98">
        <f t="shared" si="196"/>
        <v>0.45893657822502065</v>
      </c>
      <c r="AM307" s="98" t="str">
        <f t="shared" si="181"/>
        <v>1+73.1595671691288i</v>
      </c>
      <c r="AN307" s="98">
        <f t="shared" si="197"/>
        <v>73.166401226070079</v>
      </c>
      <c r="AO307" s="98">
        <f t="shared" si="198"/>
        <v>1.5571284256931037</v>
      </c>
      <c r="AP307" s="168" t="str">
        <f t="shared" si="199"/>
        <v>-8.00543789966432+4.0927541608702i</v>
      </c>
      <c r="AQ307" s="98">
        <f t="shared" si="200"/>
        <v>19.076138011655942</v>
      </c>
      <c r="AR307" s="169">
        <f t="shared" si="201"/>
        <v>152.92175795559581</v>
      </c>
      <c r="AS307" s="168" t="str">
        <f t="shared" si="202"/>
        <v>0.728046614338739+2.07340460257806i</v>
      </c>
      <c r="AT307" s="190">
        <f t="shared" si="203"/>
        <v>6.8386246822273513</v>
      </c>
      <c r="AU307" s="169">
        <f t="shared" si="204"/>
        <v>70.651998923259825</v>
      </c>
      <c r="AV307" s="225"/>
      <c r="AX307">
        <f t="shared" si="205"/>
        <v>0</v>
      </c>
      <c r="AY307">
        <f t="shared" si="206"/>
        <v>0</v>
      </c>
    </row>
    <row r="308" spans="14:51" x14ac:dyDescent="0.25">
      <c r="N308" s="170">
        <v>90</v>
      </c>
      <c r="O308" s="199">
        <f t="shared" si="207"/>
        <v>7943.2823472428154</v>
      </c>
      <c r="P308" s="189" t="str">
        <f t="shared" si="173"/>
        <v>87</v>
      </c>
      <c r="Q308" s="160" t="str">
        <f t="shared" si="174"/>
        <v>1+374.318362012313i</v>
      </c>
      <c r="R308" s="160">
        <f t="shared" si="182"/>
        <v>374.31969777127813</v>
      </c>
      <c r="S308" s="160">
        <f t="shared" si="183"/>
        <v>1.5681248104535046</v>
      </c>
      <c r="T308" s="160" t="str">
        <f t="shared" si="175"/>
        <v>1+0.249545574674875i</v>
      </c>
      <c r="U308" s="160">
        <f t="shared" si="184"/>
        <v>1.0306662863603397</v>
      </c>
      <c r="V308" s="160">
        <f t="shared" si="185"/>
        <v>0.24455092299378356</v>
      </c>
      <c r="W308" s="98" t="str">
        <f t="shared" si="176"/>
        <v>1-0.0353522897456074i</v>
      </c>
      <c r="X308" s="160">
        <f t="shared" si="186"/>
        <v>1.0006246970719128</v>
      </c>
      <c r="Y308" s="160">
        <f t="shared" si="187"/>
        <v>-3.5337573199576575E-2</v>
      </c>
      <c r="Z308" s="98" t="str">
        <f t="shared" si="177"/>
        <v>0.999551319221703+0.0742647630232428i</v>
      </c>
      <c r="AA308" s="160">
        <f t="shared" si="188"/>
        <v>1.0023063876803067</v>
      </c>
      <c r="AB308" s="160">
        <f t="shared" si="189"/>
        <v>7.4161836544668638E-2</v>
      </c>
      <c r="AC308" s="171" t="str">
        <f t="shared" si="190"/>
        <v>0.0328320602840725-0.236882787584926i</v>
      </c>
      <c r="AD308" s="190">
        <f t="shared" si="191"/>
        <v>-12.426692779373635</v>
      </c>
      <c r="AE308" s="169">
        <f t="shared" si="192"/>
        <v>-82.109051662684308</v>
      </c>
      <c r="AF308" s="98" t="str">
        <f t="shared" si="178"/>
        <v>-0.0000673063927557778</v>
      </c>
      <c r="AG308" s="98" t="str">
        <f t="shared" si="179"/>
        <v>0.000502484969165329i</v>
      </c>
      <c r="AH308" s="98">
        <f t="shared" si="193"/>
        <v>5.0248496916532903E-4</v>
      </c>
      <c r="AI308" s="98">
        <f t="shared" si="194"/>
        <v>1.5707963267948966</v>
      </c>
      <c r="AJ308" s="98" t="str">
        <f t="shared" si="180"/>
        <v>1+0.505634656671379i</v>
      </c>
      <c r="AK308" s="98">
        <f t="shared" si="195"/>
        <v>1.120565217212806</v>
      </c>
      <c r="AL308" s="98">
        <f t="shared" si="196"/>
        <v>0.46814516706551434</v>
      </c>
      <c r="AM308" s="98" t="str">
        <f t="shared" si="181"/>
        <v>1+74.8636724024625i</v>
      </c>
      <c r="AN308" s="98">
        <f t="shared" si="197"/>
        <v>74.870350911313523</v>
      </c>
      <c r="AO308" s="98">
        <f t="shared" si="198"/>
        <v>1.5574395076729146</v>
      </c>
      <c r="AP308" s="168" t="str">
        <f t="shared" si="199"/>
        <v>-7.9320763419695+4.1446797746632i</v>
      </c>
      <c r="AQ308" s="98">
        <f t="shared" si="200"/>
        <v>19.03611942342598</v>
      </c>
      <c r="AR308" s="169">
        <f t="shared" si="201"/>
        <v>152.41196836429</v>
      </c>
      <c r="AS308" s="168" t="str">
        <f t="shared" si="202"/>
        <v>0.721376890031674+2.0150507314421i</v>
      </c>
      <c r="AT308" s="190">
        <f t="shared" si="203"/>
        <v>6.6094266440523572</v>
      </c>
      <c r="AU308" s="169">
        <f t="shared" si="204"/>
        <v>70.302916701605739</v>
      </c>
      <c r="AV308" s="225"/>
      <c r="AX308">
        <f t="shared" si="205"/>
        <v>0</v>
      </c>
      <c r="AY308">
        <f t="shared" si="206"/>
        <v>0</v>
      </c>
    </row>
    <row r="309" spans="14:51" x14ac:dyDescent="0.25">
      <c r="N309" s="170">
        <v>91</v>
      </c>
      <c r="O309" s="199">
        <f t="shared" si="207"/>
        <v>8128.3051616410066</v>
      </c>
      <c r="P309" s="189" t="str">
        <f t="shared" si="173"/>
        <v>87</v>
      </c>
      <c r="Q309" s="160" t="str">
        <f t="shared" si="174"/>
        <v>1+383.037356729212i</v>
      </c>
      <c r="R309" s="160">
        <f t="shared" si="182"/>
        <v>383.03866208269574</v>
      </c>
      <c r="S309" s="160">
        <f t="shared" si="183"/>
        <v>1.5681856213101619</v>
      </c>
      <c r="T309" s="160" t="str">
        <f t="shared" si="175"/>
        <v>1+0.255358237819474i</v>
      </c>
      <c r="U309" s="160">
        <f t="shared" si="184"/>
        <v>1.0320890608965232</v>
      </c>
      <c r="V309" s="160">
        <f t="shared" si="185"/>
        <v>0.25001531782043424</v>
      </c>
      <c r="W309" s="98" t="str">
        <f t="shared" si="176"/>
        <v>1-0.0361757503577589i</v>
      </c>
      <c r="X309" s="160">
        <f t="shared" si="186"/>
        <v>1.0006541285149164</v>
      </c>
      <c r="Y309" s="160">
        <f t="shared" si="187"/>
        <v>-3.6159981851264261E-2</v>
      </c>
      <c r="Z309" s="98" t="str">
        <f t="shared" si="177"/>
        <v>0.999530173548083+0.0759946115750755i</v>
      </c>
      <c r="AA309" s="160">
        <f t="shared" si="188"/>
        <v>1.0024149583987201</v>
      </c>
      <c r="AB309" s="160">
        <f t="shared" si="189"/>
        <v>7.5884338061131595E-2</v>
      </c>
      <c r="AC309" s="171" t="str">
        <f t="shared" si="190"/>
        <v>0.0327889581234036-0.231699197858905i</v>
      </c>
      <c r="AD309" s="190">
        <f t="shared" si="191"/>
        <v>-12.615394627445847</v>
      </c>
      <c r="AE309" s="169">
        <f t="shared" si="192"/>
        <v>-81.945261718834146</v>
      </c>
      <c r="AF309" s="98" t="str">
        <f t="shared" si="178"/>
        <v>-0.0000673063927557778</v>
      </c>
      <c r="AG309" s="98" t="str">
        <f t="shared" si="179"/>
        <v>0.000514189347673292i</v>
      </c>
      <c r="AH309" s="98">
        <f t="shared" si="193"/>
        <v>5.1418934767329203E-4</v>
      </c>
      <c r="AI309" s="98">
        <f t="shared" si="194"/>
        <v>1.5707963267948966</v>
      </c>
      <c r="AJ309" s="98" t="str">
        <f t="shared" si="180"/>
        <v>1+0.517412400826109i</v>
      </c>
      <c r="AK309" s="98">
        <f t="shared" si="195"/>
        <v>1.1259287688520256</v>
      </c>
      <c r="AL309" s="98">
        <f t="shared" si="196"/>
        <v>0.47748029706128281</v>
      </c>
      <c r="AM309" s="98" t="str">
        <f t="shared" si="181"/>
        <v>1+76.6074713458422i</v>
      </c>
      <c r="AN309" s="98">
        <f t="shared" si="197"/>
        <v>76.613997846372911</v>
      </c>
      <c r="AO309" s="98">
        <f t="shared" si="198"/>
        <v>1.5577435110604994</v>
      </c>
      <c r="AP309" s="168" t="str">
        <f t="shared" si="199"/>
        <v>-7.85668477326796+4.19604420015797i</v>
      </c>
      <c r="AQ309" s="98">
        <f t="shared" si="200"/>
        <v>18.994608986365741</v>
      </c>
      <c r="AR309" s="169">
        <f t="shared" si="201"/>
        <v>151.89452292539281</v>
      </c>
      <c r="AS309" s="168" t="str">
        <f t="shared" si="202"/>
        <v>0.714607567337646+1.95797147735939i</v>
      </c>
      <c r="AT309" s="190">
        <f t="shared" si="203"/>
        <v>6.3792143589198993</v>
      </c>
      <c r="AU309" s="169">
        <f t="shared" si="204"/>
        <v>69.949261206558688</v>
      </c>
      <c r="AV309" s="225"/>
      <c r="AX309">
        <f t="shared" si="205"/>
        <v>0</v>
      </c>
      <c r="AY309">
        <f t="shared" si="206"/>
        <v>0</v>
      </c>
    </row>
    <row r="310" spans="14:51" x14ac:dyDescent="0.25">
      <c r="N310" s="170">
        <v>92</v>
      </c>
      <c r="O310" s="199">
        <f t="shared" si="207"/>
        <v>8317.6377110267094</v>
      </c>
      <c r="P310" s="189" t="str">
        <f t="shared" si="173"/>
        <v>87</v>
      </c>
      <c r="Q310" s="160" t="str">
        <f t="shared" si="174"/>
        <v>1+391.959442922745i</v>
      </c>
      <c r="R310" s="160">
        <f t="shared" si="182"/>
        <v>391.96071856285374</v>
      </c>
      <c r="S310" s="160">
        <f t="shared" si="183"/>
        <v>1.5682450479613832</v>
      </c>
      <c r="T310" s="160" t="str">
        <f t="shared" si="175"/>
        <v>1+0.26130629528183i</v>
      </c>
      <c r="U310" s="160">
        <f t="shared" si="184"/>
        <v>1.0335767895777821</v>
      </c>
      <c r="V310" s="160">
        <f t="shared" si="185"/>
        <v>0.25559125000094457</v>
      </c>
      <c r="W310" s="98" t="str">
        <f t="shared" si="176"/>
        <v>1-0.0370183918315926i</v>
      </c>
      <c r="X310" s="160">
        <f t="shared" si="186"/>
        <v>1.0006849460913247</v>
      </c>
      <c r="Y310" s="160">
        <f t="shared" si="187"/>
        <v>-3.7001496197024614E-2</v>
      </c>
      <c r="Z310" s="98" t="str">
        <f t="shared" si="177"/>
        <v>0.999508031309569+0.0777647534758725i</v>
      </c>
      <c r="AA310" s="160">
        <f t="shared" si="188"/>
        <v>1.002528633773367</v>
      </c>
      <c r="AB310" s="160">
        <f t="shared" si="189"/>
        <v>7.7646609198731772E-2</v>
      </c>
      <c r="AC310" s="171" t="str">
        <f t="shared" si="190"/>
        <v>0.0327464054547921-0.226638352607977i</v>
      </c>
      <c r="AD310" s="190">
        <f t="shared" si="191"/>
        <v>-12.803599271941001</v>
      </c>
      <c r="AE310" s="169">
        <f t="shared" si="192"/>
        <v>-81.778375153299251</v>
      </c>
      <c r="AF310" s="98" t="str">
        <f t="shared" si="178"/>
        <v>-0.0000673063927557778</v>
      </c>
      <c r="AG310" s="98" t="str">
        <f t="shared" si="179"/>
        <v>0.000526166356179492i</v>
      </c>
      <c r="AH310" s="98">
        <f t="shared" si="193"/>
        <v>5.2616635617949205E-4</v>
      </c>
      <c r="AI310" s="98">
        <f t="shared" si="194"/>
        <v>1.5707963267948966</v>
      </c>
      <c r="AJ310" s="98" t="str">
        <f t="shared" si="180"/>
        <v>1+0.529464483884517i</v>
      </c>
      <c r="AK310" s="98">
        <f t="shared" si="195"/>
        <v>1.1315178477139005</v>
      </c>
      <c r="AL310" s="98">
        <f t="shared" si="196"/>
        <v>0.48694040886662376</v>
      </c>
      <c r="AM310" s="98" t="str">
        <f t="shared" si="181"/>
        <v>1+78.3918885845488i</v>
      </c>
      <c r="AN310" s="98">
        <f t="shared" si="197"/>
        <v>78.398266536016664</v>
      </c>
      <c r="AO310" s="98">
        <f t="shared" si="198"/>
        <v>1.5580405968175859</v>
      </c>
      <c r="AP310" s="168" t="str">
        <f t="shared" si="199"/>
        <v>-7.77926101690729+4.24676088458328i</v>
      </c>
      <c r="AQ310" s="98">
        <f t="shared" si="200"/>
        <v>18.951565834583572</v>
      </c>
      <c r="AR310" s="169">
        <f t="shared" si="201"/>
        <v>151.36952020525933</v>
      </c>
      <c r="AS310" s="168" t="str">
        <f t="shared" si="202"/>
        <v>0.707736055403645+1.90214505517544i</v>
      </c>
      <c r="AT310" s="190">
        <f t="shared" si="203"/>
        <v>6.1479665626425728</v>
      </c>
      <c r="AU310" s="169">
        <f t="shared" si="204"/>
        <v>69.591145051960126</v>
      </c>
      <c r="AV310" s="225"/>
      <c r="AX310">
        <f t="shared" si="205"/>
        <v>0</v>
      </c>
      <c r="AY310">
        <f t="shared" si="206"/>
        <v>0</v>
      </c>
    </row>
    <row r="311" spans="14:51" x14ac:dyDescent="0.25">
      <c r="N311" s="170">
        <v>93</v>
      </c>
      <c r="O311" s="199">
        <f t="shared" si="207"/>
        <v>8511.3803820237772</v>
      </c>
      <c r="P311" s="189" t="str">
        <f t="shared" si="173"/>
        <v>87</v>
      </c>
      <c r="Q311" s="160" t="str">
        <f t="shared" si="174"/>
        <v>1+401.089351201114i</v>
      </c>
      <c r="R311" s="160">
        <f t="shared" si="182"/>
        <v>401.09059780420006</v>
      </c>
      <c r="S311" s="160">
        <f t="shared" si="183"/>
        <v>1.5683031219142858</v>
      </c>
      <c r="T311" s="160" t="str">
        <f t="shared" si="175"/>
        <v>1+0.267392900800742i</v>
      </c>
      <c r="U311" s="160">
        <f t="shared" si="184"/>
        <v>1.0351323410070015</v>
      </c>
      <c r="V311" s="160">
        <f t="shared" si="185"/>
        <v>0.26128028849601825</v>
      </c>
      <c r="W311" s="98" t="str">
        <f t="shared" si="176"/>
        <v>1-0.0378806609467719i</v>
      </c>
      <c r="X311" s="160">
        <f t="shared" si="186"/>
        <v>1.0007172150381767</v>
      </c>
      <c r="Y311" s="160">
        <f t="shared" si="187"/>
        <v>-3.7862557648858056E-2</v>
      </c>
      <c r="Z311" s="98" t="str">
        <f t="shared" si="177"/>
        <v>0.999484845539502+0.0795761272783008i</v>
      </c>
      <c r="AA311" s="160">
        <f t="shared" si="188"/>
        <v>1.0026476532140962</v>
      </c>
      <c r="AB311" s="160">
        <f t="shared" si="189"/>
        <v>7.9449551263345616E-2</v>
      </c>
      <c r="AC311" s="171" t="str">
        <f t="shared" si="190"/>
        <v>0.0327043130072186-0.22169756193867i</v>
      </c>
      <c r="AD311" s="190">
        <f t="shared" si="191"/>
        <v>-12.991286441598064</v>
      </c>
      <c r="AE311" s="169">
        <f t="shared" si="192"/>
        <v>-81.608380808545519</v>
      </c>
      <c r="AF311" s="98" t="str">
        <f t="shared" si="178"/>
        <v>-0.0000673063927557778</v>
      </c>
      <c r="AG311" s="98" t="str">
        <f t="shared" si="179"/>
        <v>0.000538422345052374i</v>
      </c>
      <c r="AH311" s="98">
        <f t="shared" si="193"/>
        <v>5.3842234505237403E-4</v>
      </c>
      <c r="AI311" s="98">
        <f t="shared" si="194"/>
        <v>1.5707963267948966</v>
      </c>
      <c r="AJ311" s="98" t="str">
        <f t="shared" si="180"/>
        <v>1+0.541797296020574i</v>
      </c>
      <c r="AK311" s="98">
        <f t="shared" si="195"/>
        <v>1.1373408943563075</v>
      </c>
      <c r="AL311" s="98">
        <f t="shared" si="196"/>
        <v>0.49652374453449821</v>
      </c>
      <c r="AM311" s="98" t="str">
        <f t="shared" si="181"/>
        <v>1+80.2178702402226i</v>
      </c>
      <c r="AN311" s="98">
        <f t="shared" si="197"/>
        <v>80.224103023201138</v>
      </c>
      <c r="AO311" s="98">
        <f t="shared" si="198"/>
        <v>1.5583309222530886</v>
      </c>
      <c r="AP311" s="168" t="str">
        <f t="shared" si="199"/>
        <v>-7.69980720091836+4.29674140684037i</v>
      </c>
      <c r="AQ311" s="98">
        <f t="shared" si="200"/>
        <v>18.906949104641459</v>
      </c>
      <c r="AR311" s="169">
        <f t="shared" si="201"/>
        <v>150.83706993997254</v>
      </c>
      <c r="AS311" s="168" t="str">
        <f t="shared" si="202"/>
        <v>0.700760189383371+1.8475504597218i</v>
      </c>
      <c r="AT311" s="190">
        <f t="shared" si="203"/>
        <v>5.9156626630433964</v>
      </c>
      <c r="AU311" s="169">
        <f t="shared" si="204"/>
        <v>69.228689131427032</v>
      </c>
      <c r="AV311" s="225"/>
      <c r="AX311">
        <f t="shared" si="205"/>
        <v>0</v>
      </c>
      <c r="AY311">
        <f t="shared" si="206"/>
        <v>0</v>
      </c>
    </row>
    <row r="312" spans="14:51" x14ac:dyDescent="0.25">
      <c r="N312" s="170">
        <v>94</v>
      </c>
      <c r="O312" s="199">
        <f t="shared" si="207"/>
        <v>8709.6358995608189</v>
      </c>
      <c r="P312" s="189" t="str">
        <f t="shared" si="173"/>
        <v>87</v>
      </c>
      <c r="Q312" s="160" t="str">
        <f t="shared" si="174"/>
        <v>1+410.431922362534i</v>
      </c>
      <c r="R312" s="160">
        <f t="shared" si="182"/>
        <v>410.43314058955468</v>
      </c>
      <c r="S312" s="160">
        <f t="shared" si="183"/>
        <v>1.5683598739588804</v>
      </c>
      <c r="T312" s="160" t="str">
        <f t="shared" si="175"/>
        <v>1+0.273621281575022i</v>
      </c>
      <c r="U312" s="160">
        <f t="shared" si="184"/>
        <v>1.0367587017868514</v>
      </c>
      <c r="V312" s="160">
        <f t="shared" si="185"/>
        <v>0.26708397608838824</v>
      </c>
      <c r="W312" s="98" t="str">
        <f t="shared" si="176"/>
        <v>1-0.0387630148897949i</v>
      </c>
      <c r="X312" s="160">
        <f t="shared" si="186"/>
        <v>1.0007510036584257</v>
      </c>
      <c r="Y312" s="160">
        <f t="shared" si="187"/>
        <v>-3.874361764271593E-2</v>
      </c>
      <c r="Z312" s="98" t="str">
        <f t="shared" si="177"/>
        <v>0.999460567057757+0.0814296933967266i</v>
      </c>
      <c r="AA312" s="160">
        <f t="shared" si="188"/>
        <v>1.002772267302052</v>
      </c>
      <c r="AB312" s="160">
        <f t="shared" si="189"/>
        <v>8.1294084784138923E-2</v>
      </c>
      <c r="AC312" s="171" t="str">
        <f t="shared" si="190"/>
        <v>0.0326625925798499-0.216874199090474i</v>
      </c>
      <c r="AD312" s="190">
        <f t="shared" si="191"/>
        <v>-13.1784351848799</v>
      </c>
      <c r="AE312" s="169">
        <f t="shared" si="192"/>
        <v>-81.435270661581995</v>
      </c>
      <c r="AF312" s="98" t="str">
        <f t="shared" si="178"/>
        <v>-0.0000673063927557778</v>
      </c>
      <c r="AG312" s="98" t="str">
        <f t="shared" si="179"/>
        <v>0.000550963812579464i</v>
      </c>
      <c r="AH312" s="98">
        <f t="shared" si="193"/>
        <v>5.5096381257946402E-4</v>
      </c>
      <c r="AI312" s="98">
        <f t="shared" si="194"/>
        <v>1.5707963267948966</v>
      </c>
      <c r="AJ312" s="98" t="str">
        <f t="shared" si="180"/>
        <v>1+0.554417376254514i</v>
      </c>
      <c r="AK312" s="98">
        <f t="shared" si="195"/>
        <v>1.1434065887045339</v>
      </c>
      <c r="AL312" s="98">
        <f t="shared" si="196"/>
        <v>0.5062283433726924</v>
      </c>
      <c r="AM312" s="98" t="str">
        <f t="shared" si="181"/>
        <v>1+82.0863844725066i</v>
      </c>
      <c r="AN312" s="98">
        <f t="shared" si="197"/>
        <v>82.092475390672504</v>
      </c>
      <c r="AO312" s="98">
        <f t="shared" si="198"/>
        <v>1.558614641105514</v>
      </c>
      <c r="AP312" s="168" t="str">
        <f t="shared" si="199"/>
        <v>-7.61832998203513+4.34589570602292i</v>
      </c>
      <c r="AQ312" s="98">
        <f t="shared" si="200"/>
        <v>18.860718024111009</v>
      </c>
      <c r="AR312" s="169">
        <f t="shared" si="201"/>
        <v>150.29729327748871</v>
      </c>
      <c r="AS312" s="168" t="str">
        <f t="shared" si="202"/>
        <v>0.693678242232382+1.79416743410116i</v>
      </c>
      <c r="AT312" s="190">
        <f t="shared" si="203"/>
        <v>5.6822828392311076</v>
      </c>
      <c r="AU312" s="169">
        <f t="shared" si="204"/>
        <v>68.862022615906739</v>
      </c>
      <c r="AV312" s="225"/>
      <c r="AX312">
        <f t="shared" si="205"/>
        <v>0</v>
      </c>
      <c r="AY312">
        <f t="shared" si="206"/>
        <v>0</v>
      </c>
    </row>
    <row r="313" spans="14:51" x14ac:dyDescent="0.25">
      <c r="N313" s="170">
        <v>95</v>
      </c>
      <c r="O313" s="199">
        <f t="shared" si="207"/>
        <v>8912.5093813374679</v>
      </c>
      <c r="P313" s="189" t="str">
        <f t="shared" si="173"/>
        <v>87</v>
      </c>
      <c r="Q313" s="160" t="str">
        <f t="shared" si="174"/>
        <v>1+419.9921099619i</v>
      </c>
      <c r="R313" s="160">
        <f t="shared" si="182"/>
        <v>419.99330045876764</v>
      </c>
      <c r="S313" s="160">
        <f t="shared" si="183"/>
        <v>1.5684153341843892</v>
      </c>
      <c r="T313" s="160" t="str">
        <f t="shared" si="175"/>
        <v>1+0.279994739974599i</v>
      </c>
      <c r="U313" s="160">
        <f t="shared" si="184"/>
        <v>1.0384589806118696</v>
      </c>
      <c r="V313" s="160">
        <f t="shared" si="185"/>
        <v>0.27300382546005558</v>
      </c>
      <c r="W313" s="98" t="str">
        <f t="shared" si="176"/>
        <v>1-0.0396659214964016i</v>
      </c>
      <c r="X313" s="160">
        <f t="shared" si="186"/>
        <v>1.0007863834646027</v>
      </c>
      <c r="Y313" s="160">
        <f t="shared" si="187"/>
        <v>-3.9645137853646747E-2</v>
      </c>
      <c r="Z313" s="98" t="str">
        <f t="shared" si="177"/>
        <v>0.999435144366418+0.0833264346164407i</v>
      </c>
      <c r="AA313" s="160">
        <f t="shared" si="188"/>
        <v>1.0029027383054705</v>
      </c>
      <c r="AB313" s="160">
        <f t="shared" si="189"/>
        <v>8.3181149837175214E-2</v>
      </c>
      <c r="AC313" s="171" t="str">
        <f t="shared" si="190"/>
        <v>0.0326211568639094-0.212165699010882i</v>
      </c>
      <c r="AD313" s="190">
        <f t="shared" si="191"/>
        <v>-13.365023860285481</v>
      </c>
      <c r="AE313" s="169">
        <f t="shared" si="192"/>
        <v>-81.259040080522496</v>
      </c>
      <c r="AF313" s="98" t="str">
        <f t="shared" si="178"/>
        <v>-0.0000673063927557778</v>
      </c>
      <c r="AG313" s="98" t="str">
        <f t="shared" si="179"/>
        <v>0.000563797408412852i</v>
      </c>
      <c r="AH313" s="98">
        <f t="shared" si="193"/>
        <v>5.6379740841285204E-4</v>
      </c>
      <c r="AI313" s="98">
        <f t="shared" si="194"/>
        <v>1.5707963267948966</v>
      </c>
      <c r="AJ313" s="98" t="str">
        <f t="shared" si="180"/>
        <v>1+0.567331415919926i</v>
      </c>
      <c r="AK313" s="98">
        <f t="shared" si="195"/>
        <v>1.1497238518399573</v>
      </c>
      <c r="AL313" s="98">
        <f t="shared" si="196"/>
        <v>0.51605203835794422</v>
      </c>
      <c r="AM313" s="98" t="str">
        <f t="shared" si="181"/>
        <v>1+83.9984219923797i</v>
      </c>
      <c r="AN313" s="98">
        <f t="shared" si="197"/>
        <v>84.004374274259661</v>
      </c>
      <c r="AO313" s="98">
        <f t="shared" si="198"/>
        <v>1.5588919036235416</v>
      </c>
      <c r="AP313" s="168" t="str">
        <f t="shared" si="199"/>
        <v>-7.53484075811741+4.39413233389245i</v>
      </c>
      <c r="AQ313" s="98">
        <f t="shared" si="200"/>
        <v>18.812832004522392</v>
      </c>
      <c r="AR313" s="169">
        <f t="shared" si="201"/>
        <v>149.75032298771012</v>
      </c>
      <c r="AS313" s="168" t="str">
        <f t="shared" si="202"/>
        <v>0.686488935851484+1.74197643652635i</v>
      </c>
      <c r="AT313" s="190">
        <f t="shared" si="203"/>
        <v>5.4478081442369266</v>
      </c>
      <c r="AU313" s="169">
        <f t="shared" si="204"/>
        <v>68.491282907187653</v>
      </c>
      <c r="AV313" s="225"/>
      <c r="AX313">
        <f t="shared" si="205"/>
        <v>0</v>
      </c>
      <c r="AY313">
        <f t="shared" si="206"/>
        <v>0</v>
      </c>
    </row>
    <row r="314" spans="14:51" x14ac:dyDescent="0.25">
      <c r="N314" s="170">
        <v>96</v>
      </c>
      <c r="O314" s="199">
        <f t="shared" si="207"/>
        <v>9120.1083935591087</v>
      </c>
      <c r="P314" s="189" t="str">
        <f t="shared" si="173"/>
        <v>87</v>
      </c>
      <c r="Q314" s="160" t="str">
        <f t="shared" si="174"/>
        <v>1+429.77498293722i</v>
      </c>
      <c r="R314" s="160">
        <f t="shared" si="182"/>
        <v>429.77614633514474</v>
      </c>
      <c r="S314" s="160">
        <f t="shared" si="183"/>
        <v>1.5684695319951922</v>
      </c>
      <c r="T314" s="160" t="str">
        <f t="shared" si="175"/>
        <v>1+0.286516655291479i</v>
      </c>
      <c r="U314" s="160">
        <f t="shared" si="184"/>
        <v>1.0402364124368153</v>
      </c>
      <c r="V314" s="160">
        <f t="shared" si="185"/>
        <v>0.27904131506024793</v>
      </c>
      <c r="W314" s="98" t="str">
        <f t="shared" si="176"/>
        <v>1-0.0405898594996263i</v>
      </c>
      <c r="X314" s="160">
        <f t="shared" si="186"/>
        <v>1.0008234293291696</v>
      </c>
      <c r="Y314" s="160">
        <f t="shared" si="187"/>
        <v>-4.0567590414652972E-2</v>
      </c>
      <c r="Z314" s="98" t="str">
        <f t="shared" si="177"/>
        <v>0.999408523540549+0.0852673566147442i</v>
      </c>
      <c r="AA314" s="160">
        <f t="shared" si="188"/>
        <v>1.0030393407187805</v>
      </c>
      <c r="AB314" s="160">
        <f t="shared" si="189"/>
        <v>8.5111706367979517E-2</v>
      </c>
      <c r="AC314" s="171" t="str">
        <f t="shared" si="190"/>
        <v>0.0325799192672838-0.2075695569607i</v>
      </c>
      <c r="AD314" s="190">
        <f t="shared" si="191"/>
        <v>-13.551030127831545</v>
      </c>
      <c r="AE314" s="169">
        <f t="shared" si="192"/>
        <v>-81.079688093268402</v>
      </c>
      <c r="AF314" s="98" t="str">
        <f t="shared" si="178"/>
        <v>-0.0000673063927557778</v>
      </c>
      <c r="AG314" s="98" t="str">
        <f t="shared" si="179"/>
        <v>0.000576929937094922i</v>
      </c>
      <c r="AH314" s="98">
        <f t="shared" si="193"/>
        <v>5.7692993709492196E-4</v>
      </c>
      <c r="AI314" s="98">
        <f t="shared" si="194"/>
        <v>1.5707963267948966</v>
      </c>
      <c r="AJ314" s="98" t="str">
        <f t="shared" si="180"/>
        <v>1+0.580546262211578i</v>
      </c>
      <c r="AK314" s="98">
        <f t="shared" si="195"/>
        <v>1.1563018475155327</v>
      </c>
      <c r="AL314" s="98">
        <f t="shared" si="196"/>
        <v>0.52599245316302379</v>
      </c>
      <c r="AM314" s="98" t="str">
        <f t="shared" si="181"/>
        <v>1+85.9549965874437i</v>
      </c>
      <c r="AN314" s="98">
        <f t="shared" si="197"/>
        <v>85.960813388121565</v>
      </c>
      <c r="AO314" s="98">
        <f t="shared" si="198"/>
        <v>1.559162856644815</v>
      </c>
      <c r="AP314" s="168" t="str">
        <f t="shared" si="199"/>
        <v>-7.44935586641744+4.44135873100665i</v>
      </c>
      <c r="AQ314" s="98">
        <f t="shared" si="200"/>
        <v>18.763250738447429</v>
      </c>
      <c r="AR314" s="169">
        <f t="shared" si="201"/>
        <v>149.19630363733492</v>
      </c>
      <c r="AS314" s="168" t="str">
        <f t="shared" si="202"/>
        <v>0.67919145137744+1.6909586057281i</v>
      </c>
      <c r="AT314" s="190">
        <f t="shared" si="203"/>
        <v>5.2122206106158764</v>
      </c>
      <c r="AU314" s="169">
        <f t="shared" si="204"/>
        <v>68.116615544066505</v>
      </c>
      <c r="AV314" s="225"/>
      <c r="AX314">
        <f t="shared" si="205"/>
        <v>0</v>
      </c>
      <c r="AY314">
        <f t="shared" si="206"/>
        <v>0</v>
      </c>
    </row>
    <row r="315" spans="14:51" x14ac:dyDescent="0.25">
      <c r="N315" s="170">
        <v>97</v>
      </c>
      <c r="O315" s="199">
        <f t="shared" si="207"/>
        <v>9332.5430079699217</v>
      </c>
      <c r="P315" s="189" t="str">
        <f t="shared" si="173"/>
        <v>87</v>
      </c>
      <c r="Q315" s="160" t="str">
        <f t="shared" si="174"/>
        <v>1+439.785728297238i</v>
      </c>
      <c r="R315" s="160">
        <f t="shared" si="182"/>
        <v>439.78686521306213</v>
      </c>
      <c r="S315" s="160">
        <f t="shared" si="183"/>
        <v>1.5685224961264119</v>
      </c>
      <c r="T315" s="160" t="str">
        <f t="shared" si="175"/>
        <v>1+0.293190485531491i</v>
      </c>
      <c r="U315" s="160">
        <f t="shared" si="184"/>
        <v>1.0420943627168278</v>
      </c>
      <c r="V315" s="160">
        <f t="shared" si="185"/>
        <v>0.2851978847616935</v>
      </c>
      <c r="W315" s="98" t="str">
        <f t="shared" si="176"/>
        <v>1-0.041535318783628i</v>
      </c>
      <c r="X315" s="160">
        <f t="shared" si="186"/>
        <v>1.0008622196418733</v>
      </c>
      <c r="Y315" s="160">
        <f t="shared" si="187"/>
        <v>-4.151145813925438E-2</v>
      </c>
      <c r="Z315" s="98" t="str">
        <f t="shared" si="177"/>
        <v>0.999380648113809+0.0872534884941717i</v>
      </c>
      <c r="AA315" s="160">
        <f t="shared" si="188"/>
        <v>1.0031823618259939</v>
      </c>
      <c r="AB315" s="160">
        <f t="shared" si="189"/>
        <v>8.7086734512457672E-2</v>
      </c>
      <c r="AC315" s="171" t="str">
        <f t="shared" si="190"/>
        <v>0.0325387937415656-0.203083327148749i</v>
      </c>
      <c r="AD315" s="190">
        <f t="shared" si="191"/>
        <v>-13.736430941850221</v>
      </c>
      <c r="AE315" s="169">
        <f t="shared" si="192"/>
        <v>-80.897217668418349</v>
      </c>
      <c r="AF315" s="98" t="str">
        <f t="shared" si="178"/>
        <v>-0.0000673063927557778</v>
      </c>
      <c r="AG315" s="98" t="str">
        <f t="shared" si="179"/>
        <v>0.00059036836166621i</v>
      </c>
      <c r="AH315" s="98">
        <f t="shared" si="193"/>
        <v>5.9036836166620997E-4</v>
      </c>
      <c r="AI315" s="98">
        <f t="shared" si="194"/>
        <v>1.5707963267948966</v>
      </c>
      <c r="AJ315" s="98" t="str">
        <f t="shared" si="180"/>
        <v>1+0.594068921815893i</v>
      </c>
      <c r="AK315" s="98">
        <f t="shared" si="195"/>
        <v>1.1631499833931553</v>
      </c>
      <c r="AL315" s="98">
        <f t="shared" si="196"/>
        <v>0.53604699985081794</v>
      </c>
      <c r="AM315" s="98" t="str">
        <f t="shared" si="181"/>
        <v>1+87.9571456594473i</v>
      </c>
      <c r="AN315" s="98">
        <f t="shared" si="197"/>
        <v>87.962830062232712</v>
      </c>
      <c r="AO315" s="98">
        <f t="shared" si="198"/>
        <v>1.5594276436729844</v>
      </c>
      <c r="AP315" s="168" t="str">
        <f t="shared" si="199"/>
        <v>-7.3618967650734+4.48748152591781i</v>
      </c>
      <c r="AQ315" s="98">
        <f t="shared" si="200"/>
        <v>18.711934300406238</v>
      </c>
      <c r="AR315" s="169">
        <f t="shared" si="201"/>
        <v>148.63539172639105</v>
      </c>
      <c r="AS315" s="168" t="str">
        <f t="shared" si="202"/>
        <v>0.671785438416511+1.64109572496764i</v>
      </c>
      <c r="AT315" s="190">
        <f t="shared" si="203"/>
        <v>4.9755033585559998</v>
      </c>
      <c r="AU315" s="169">
        <f t="shared" si="204"/>
        <v>67.738174057972657</v>
      </c>
      <c r="AV315" s="225"/>
      <c r="AX315">
        <f t="shared" si="205"/>
        <v>0</v>
      </c>
      <c r="AY315">
        <f t="shared" si="206"/>
        <v>0</v>
      </c>
    </row>
    <row r="316" spans="14:51" x14ac:dyDescent="0.25">
      <c r="N316" s="170">
        <v>98</v>
      </c>
      <c r="O316" s="199">
        <f t="shared" si="207"/>
        <v>9549.9258602143691</v>
      </c>
      <c r="P316" s="189" t="str">
        <f t="shared" si="173"/>
        <v>87</v>
      </c>
      <c r="Q316" s="160" t="str">
        <f t="shared" si="174"/>
        <v>1+450.029653871651i</v>
      </c>
      <c r="R316" s="160">
        <f t="shared" si="182"/>
        <v>450.03076490817608</v>
      </c>
      <c r="S316" s="160">
        <f t="shared" si="183"/>
        <v>1.5685742546591426</v>
      </c>
      <c r="T316" s="160" t="str">
        <f t="shared" si="175"/>
        <v>1+0.300019769247766i</v>
      </c>
      <c r="U316" s="160">
        <f t="shared" si="184"/>
        <v>1.0440363317143149</v>
      </c>
      <c r="V316" s="160">
        <f t="shared" si="185"/>
        <v>0.29147493130373719</v>
      </c>
      <c r="W316" s="98" t="str">
        <f t="shared" si="176"/>
        <v>1-0.0425028006434337i</v>
      </c>
      <c r="X316" s="160">
        <f t="shared" si="186"/>
        <v>1.0009028364744179</v>
      </c>
      <c r="Y316" s="160">
        <f t="shared" si="187"/>
        <v>-4.2477234747746936E-2</v>
      </c>
      <c r="Z316" s="98" t="str">
        <f t="shared" si="177"/>
        <v>0.99935145895868+0.0892858833281353i</v>
      </c>
      <c r="AA316" s="160">
        <f t="shared" si="188"/>
        <v>1.0033321022894304</v>
      </c>
      <c r="AB316" s="160">
        <f t="shared" si="189"/>
        <v>8.9107234915517974E-2</v>
      </c>
      <c r="AC316" s="171" t="str">
        <f t="shared" si="190"/>
        <v>0.0324976946112529-0.198704621395075i</v>
      </c>
      <c r="AD316" s="190">
        <f t="shared" si="191"/>
        <v>-13.921202545258161</v>
      </c>
      <c r="AE316" s="169">
        <f t="shared" si="192"/>
        <v>-80.711636008450228</v>
      </c>
      <c r="AF316" s="98" t="str">
        <f t="shared" si="178"/>
        <v>-0.0000673063927557778</v>
      </c>
      <c r="AG316" s="98" t="str">
        <f t="shared" si="179"/>
        <v>0.000604119807357303i</v>
      </c>
      <c r="AH316" s="98">
        <f t="shared" si="193"/>
        <v>6.0411980735730305E-4</v>
      </c>
      <c r="AI316" s="98">
        <f t="shared" si="194"/>
        <v>1.5707963267948966</v>
      </c>
      <c r="AJ316" s="98" t="str">
        <f t="shared" si="180"/>
        <v>1+0.607906564625987i</v>
      </c>
      <c r="AK316" s="98">
        <f t="shared" si="195"/>
        <v>1.1702779120001237</v>
      </c>
      <c r="AL316" s="98">
        <f t="shared" si="196"/>
        <v>0.54621287728774126</v>
      </c>
      <c r="AM316" s="98" t="str">
        <f t="shared" si="181"/>
        <v>1+90.0059307743299i</v>
      </c>
      <c r="AN316" s="98">
        <f t="shared" si="197"/>
        <v>90.011485792389095</v>
      </c>
      <c r="AO316" s="98">
        <f t="shared" si="198"/>
        <v>1.559686404953033</v>
      </c>
      <c r="AP316" s="168" t="str">
        <f t="shared" si="199"/>
        <v>-7.27249019518592+4.53240685655924i</v>
      </c>
      <c r="AQ316" s="98">
        <f t="shared" si="200"/>
        <v>18.658843251233112</v>
      </c>
      <c r="AR316" s="169">
        <f t="shared" si="201"/>
        <v>148.06775578345625</v>
      </c>
      <c r="AS316" s="168" t="str">
        <f t="shared" si="202"/>
        <v>0.664271023014563+1.59237018471222i</v>
      </c>
      <c r="AT316" s="190">
        <f t="shared" si="203"/>
        <v>4.7376407059749335</v>
      </c>
      <c r="AU316" s="169">
        <f t="shared" si="204"/>
        <v>67.356119775005951</v>
      </c>
      <c r="AV316" s="225"/>
      <c r="AX316">
        <f t="shared" si="205"/>
        <v>0</v>
      </c>
      <c r="AY316">
        <f t="shared" si="206"/>
        <v>0</v>
      </c>
    </row>
    <row r="317" spans="14:51" x14ac:dyDescent="0.25">
      <c r="N317" s="170">
        <v>99</v>
      </c>
      <c r="O317" s="199">
        <f t="shared" si="207"/>
        <v>9772.3722095581161</v>
      </c>
      <c r="P317" s="189" t="str">
        <f t="shared" si="173"/>
        <v>87</v>
      </c>
      <c r="Q317" s="160" t="str">
        <f t="shared" si="174"/>
        <v>1+460.512191125394i</v>
      </c>
      <c r="R317" s="160">
        <f t="shared" si="182"/>
        <v>460.51327687170044</v>
      </c>
      <c r="S317" s="160">
        <f t="shared" si="183"/>
        <v>1.5686248350353331</v>
      </c>
      <c r="T317" s="160" t="str">
        <f t="shared" si="175"/>
        <v>1+0.307008127416929i</v>
      </c>
      <c r="U317" s="160">
        <f t="shared" si="184"/>
        <v>1.0460659588668628</v>
      </c>
      <c r="V317" s="160">
        <f t="shared" si="185"/>
        <v>0.29787380352189585</v>
      </c>
      <c r="W317" s="98" t="str">
        <f t="shared" si="176"/>
        <v>1-0.0434928180507316i</v>
      </c>
      <c r="X317" s="160">
        <f t="shared" si="186"/>
        <v>1.0009453657527938</v>
      </c>
      <c r="Y317" s="160">
        <f t="shared" si="187"/>
        <v>-4.3465425097137841E-2</v>
      </c>
      <c r="Z317" s="98" t="str">
        <f t="shared" si="177"/>
        <v>0.999320894161051+0.0913656187192779i</v>
      </c>
      <c r="AA317" s="160">
        <f t="shared" si="188"/>
        <v>1.0034888767648593</v>
      </c>
      <c r="AB317" s="160">
        <f t="shared" si="189"/>
        <v>9.1174229046686595E-2</v>
      </c>
      <c r="AC317" s="171" t="str">
        <f t="shared" si="190"/>
        <v>0.0324565364048365-0.194431107821799i</v>
      </c>
      <c r="AD317" s="190">
        <f t="shared" si="191"/>
        <v>-14.105320465460494</v>
      </c>
      <c r="AE317" s="169">
        <f t="shared" si="192"/>
        <v>-80.522954855158005</v>
      </c>
      <c r="AF317" s="98" t="str">
        <f t="shared" si="178"/>
        <v>-0.0000673063927557778</v>
      </c>
      <c r="AG317" s="98" t="str">
        <f t="shared" si="179"/>
        <v>0.000618191565366727i</v>
      </c>
      <c r="AH317" s="98">
        <f t="shared" si="193"/>
        <v>6.1819156536672699E-4</v>
      </c>
      <c r="AI317" s="98">
        <f t="shared" si="194"/>
        <v>1.5707963267948966</v>
      </c>
      <c r="AJ317" s="98" t="str">
        <f t="shared" si="180"/>
        <v>1+0.62206652754324i</v>
      </c>
      <c r="AK317" s="98">
        <f t="shared" si="195"/>
        <v>1.1776955314043205</v>
      </c>
      <c r="AL317" s="98">
        <f t="shared" si="196"/>
        <v>0.55648707032640732</v>
      </c>
      <c r="AM317" s="98" t="str">
        <f t="shared" si="181"/>
        <v>1+92.1024382250785i</v>
      </c>
      <c r="AN317" s="98">
        <f t="shared" si="197"/>
        <v>92.107866803028287</v>
      </c>
      <c r="AO317" s="98">
        <f t="shared" si="198"/>
        <v>1.5599392775449292</v>
      </c>
      <c r="AP317" s="168" t="str">
        <f t="shared" si="199"/>
        <v>-7.18116832084461+4.57604071262559i</v>
      </c>
      <c r="AQ317" s="98">
        <f t="shared" si="200"/>
        <v>18.603938745486136</v>
      </c>
      <c r="AR317" s="169">
        <f t="shared" si="201"/>
        <v>147.49357641670812</v>
      </c>
      <c r="AS317" s="168" t="str">
        <f t="shared" si="202"/>
        <v>0.656648814158696+1.54476494405597i</v>
      </c>
      <c r="AT317" s="190">
        <f t="shared" si="203"/>
        <v>4.4986182800256342</v>
      </c>
      <c r="AU317" s="169">
        <f t="shared" si="204"/>
        <v>66.970621561550132</v>
      </c>
      <c r="AV317" s="225"/>
      <c r="AX317">
        <f t="shared" si="205"/>
        <v>0</v>
      </c>
      <c r="AY317">
        <f t="shared" si="206"/>
        <v>0</v>
      </c>
    </row>
    <row r="318" spans="14:51" x14ac:dyDescent="0.25">
      <c r="N318" s="170">
        <v>100</v>
      </c>
      <c r="O318" s="199">
        <f t="shared" si="207"/>
        <v>10000</v>
      </c>
      <c r="P318" s="189" t="str">
        <f t="shared" si="173"/>
        <v>87</v>
      </c>
      <c r="Q318" s="160" t="str">
        <f t="shared" si="174"/>
        <v>1+471.23889803847i</v>
      </c>
      <c r="R318" s="160">
        <f t="shared" si="182"/>
        <v>471.23995907022942</v>
      </c>
      <c r="S318" s="160">
        <f t="shared" si="183"/>
        <v>1.5686742640723328</v>
      </c>
      <c r="T318" s="160" t="str">
        <f t="shared" si="175"/>
        <v>1+0.314159265358979i</v>
      </c>
      <c r="U318" s="160">
        <f t="shared" si="184"/>
        <v>1.0481870272097882</v>
      </c>
      <c r="V318" s="160">
        <f t="shared" si="185"/>
        <v>0.30439579736461481</v>
      </c>
      <c r="W318" s="98" t="str">
        <f t="shared" si="176"/>
        <v>1-0.0445058959258555i</v>
      </c>
      <c r="X318" s="160">
        <f t="shared" si="186"/>
        <v>1.000989897437613</v>
      </c>
      <c r="Y318" s="160">
        <f t="shared" si="187"/>
        <v>-4.4476545414730791E-2</v>
      </c>
      <c r="Z318" s="98" t="str">
        <f t="shared" si="177"/>
        <v>0.999288888888889+0.0934937973708323i</v>
      </c>
      <c r="AA318" s="160">
        <f t="shared" si="188"/>
        <v>1.0036530145441744</v>
      </c>
      <c r="AB318" s="160">
        <f t="shared" si="189"/>
        <v>9.3288759511952243E-2</v>
      </c>
      <c r="AC318" s="171" t="str">
        <f t="shared" si="190"/>
        <v>0.032415233687515-0.190260509570751i</v>
      </c>
      <c r="AD318" s="190">
        <f t="shared" si="191"/>
        <v>-14.288759512060844</v>
      </c>
      <c r="AE318" s="169">
        <f t="shared" si="192"/>
        <v>-80.331190807255027</v>
      </c>
      <c r="AF318" s="98" t="str">
        <f t="shared" si="178"/>
        <v>-0.0000673063927557778</v>
      </c>
      <c r="AG318" s="98" t="str">
        <f t="shared" si="179"/>
        <v>0.000632591096726841i</v>
      </c>
      <c r="AH318" s="98">
        <f t="shared" si="193"/>
        <v>6.32591096726841E-4</v>
      </c>
      <c r="AI318" s="98">
        <f t="shared" si="194"/>
        <v>1.5707963267948966</v>
      </c>
      <c r="AJ318" s="98" t="str">
        <f t="shared" si="180"/>
        <v>1+0.63655631836742i</v>
      </c>
      <c r="AK318" s="98">
        <f t="shared" si="195"/>
        <v>1.1854129856102826</v>
      </c>
      <c r="AL318" s="98">
        <f t="shared" si="196"/>
        <v>0.5668663498043689</v>
      </c>
      <c r="AM318" s="98" t="str">
        <f t="shared" si="181"/>
        <v>1+94.2477796076938i</v>
      </c>
      <c r="AN318" s="98">
        <f t="shared" si="197"/>
        <v>94.253084623159282</v>
      </c>
      <c r="AO318" s="98">
        <f t="shared" si="198"/>
        <v>1.5601863953956356</v>
      </c>
      <c r="AP318" s="168" t="str">
        <f t="shared" si="199"/>
        <v>-7.08796884451663+4.61828929742971i</v>
      </c>
      <c r="AQ318" s="98">
        <f t="shared" si="200"/>
        <v>18.5471826414304</v>
      </c>
      <c r="AR318" s="169">
        <f t="shared" si="201"/>
        <v>146.91304631812221</v>
      </c>
      <c r="AS318" s="168" t="str">
        <f t="shared" si="202"/>
        <v>0.64891990860929+1.49826349099207i</v>
      </c>
      <c r="AT318" s="190">
        <f t="shared" si="203"/>
        <v>4.2584231293695298</v>
      </c>
      <c r="AU318" s="169">
        <f t="shared" si="204"/>
        <v>66.581855510867143</v>
      </c>
      <c r="AV318" s="225"/>
      <c r="AX318">
        <f t="shared" si="205"/>
        <v>0</v>
      </c>
      <c r="AY318">
        <f t="shared" si="206"/>
        <v>0</v>
      </c>
    </row>
    <row r="319" spans="14:51" x14ac:dyDescent="0.25">
      <c r="N319" s="170">
        <v>1</v>
      </c>
      <c r="O319" s="199">
        <f>10^(4+(N319/100))</f>
        <v>10232.929922807549</v>
      </c>
      <c r="P319" s="189" t="str">
        <f t="shared" si="173"/>
        <v>87</v>
      </c>
      <c r="Q319" s="160" t="str">
        <f t="shared" si="174"/>
        <v>1+482.215462052871i</v>
      </c>
      <c r="R319" s="160">
        <f t="shared" si="182"/>
        <v>482.2164989326514</v>
      </c>
      <c r="S319" s="160">
        <f t="shared" si="183"/>
        <v>1.5687225679771049</v>
      </c>
      <c r="T319" s="160" t="str">
        <f t="shared" si="175"/>
        <v>1+0.321476974701913i</v>
      </c>
      <c r="U319" s="160">
        <f t="shared" si="184"/>
        <v>1.0504034678462817</v>
      </c>
      <c r="V319" s="160">
        <f t="shared" si="185"/>
        <v>0.31104215069937274</v>
      </c>
      <c r="W319" s="98" t="str">
        <f t="shared" si="176"/>
        <v>1-0.0455425714161045i</v>
      </c>
      <c r="X319" s="160">
        <f t="shared" si="186"/>
        <v>1.0010365257128189</v>
      </c>
      <c r="Y319" s="160">
        <f t="shared" si="187"/>
        <v>-4.5511123535326735E-2</v>
      </c>
      <c r="Z319" s="98" t="str">
        <f t="shared" si="177"/>
        <v>0.999255375254719+0.0956715476712895i</v>
      </c>
      <c r="AA319" s="160">
        <f t="shared" si="188"/>
        <v>1.0038248602267574</v>
      </c>
      <c r="AB319" s="160">
        <f t="shared" si="189"/>
        <v>9.545189036101312E-2</v>
      </c>
      <c r="AC319" s="171" t="str">
        <f t="shared" si="190"/>
        <v>0.0323737008953006-0.186190603546999i</v>
      </c>
      <c r="AD319" s="190">
        <f t="shared" si="191"/>
        <v>-14.471493776557796</v>
      </c>
      <c r="AE319" s="169">
        <f t="shared" si="192"/>
        <v>-80.136365649970543</v>
      </c>
      <c r="AF319" s="98" t="str">
        <f t="shared" si="178"/>
        <v>-0.0000673063927557778</v>
      </c>
      <c r="AG319" s="98" t="str">
        <f t="shared" si="179"/>
        <v>0.000647326036259773i</v>
      </c>
      <c r="AH319" s="98">
        <f t="shared" si="193"/>
        <v>6.47326036259773E-4</v>
      </c>
      <c r="AI319" s="98">
        <f t="shared" si="194"/>
        <v>1.5707963267948966</v>
      </c>
      <c r="AJ319" s="98" t="str">
        <f t="shared" si="180"/>
        <v>1+0.651383619777417i</v>
      </c>
      <c r="AK319" s="98">
        <f t="shared" si="195"/>
        <v>1.1934406646810434</v>
      </c>
      <c r="AL319" s="98">
        <f t="shared" si="196"/>
        <v>0.57734727340183967</v>
      </c>
      <c r="AM319" s="98" t="str">
        <f t="shared" si="181"/>
        <v>1+96.443092410574i</v>
      </c>
      <c r="AN319" s="98">
        <f t="shared" si="197"/>
        <v>96.448276675711085</v>
      </c>
      <c r="AO319" s="98">
        <f t="shared" si="198"/>
        <v>1.560427889409512</v>
      </c>
      <c r="AP319" s="168" t="str">
        <f t="shared" si="199"/>
        <v>-6.99293509529935+4.65905940739166i</v>
      </c>
      <c r="AQ319" s="98">
        <f t="shared" si="200"/>
        <v>18.488537613074968</v>
      </c>
      <c r="AR319" s="169">
        <f t="shared" si="201"/>
        <v>146.32637021836092</v>
      </c>
      <c r="AS319" s="168" t="str">
        <f t="shared" si="202"/>
        <v>0.641085893868105+1.45284980166711i</v>
      </c>
      <c r="AT319" s="190">
        <f t="shared" si="203"/>
        <v>4.0170438365171668</v>
      </c>
      <c r="AU319" s="169">
        <f t="shared" si="204"/>
        <v>66.190004568390364</v>
      </c>
      <c r="AV319" s="225"/>
      <c r="AX319">
        <f t="shared" si="205"/>
        <v>0</v>
      </c>
      <c r="AY319">
        <f t="shared" si="206"/>
        <v>0</v>
      </c>
    </row>
    <row r="320" spans="14:51" x14ac:dyDescent="0.25">
      <c r="N320" s="170">
        <v>2</v>
      </c>
      <c r="O320" s="199">
        <f t="shared" ref="O320:O383" si="208">10^(4+(N320/100))</f>
        <v>10471.285480509003</v>
      </c>
      <c r="P320" s="189" t="str">
        <f t="shared" si="173"/>
        <v>87</v>
      </c>
      <c r="Q320" s="160" t="str">
        <f t="shared" si="174"/>
        <v>1+493.447703088129i</v>
      </c>
      <c r="R320" s="160">
        <f t="shared" si="182"/>
        <v>493.4487163656932</v>
      </c>
      <c r="S320" s="160">
        <f t="shared" si="183"/>
        <v>1.5687697723601164</v>
      </c>
      <c r="T320" s="160" t="str">
        <f t="shared" si="175"/>
        <v>1+0.328965135392085i</v>
      </c>
      <c r="U320" s="160">
        <f t="shared" si="184"/>
        <v>1.0527193644573718</v>
      </c>
      <c r="V320" s="160">
        <f t="shared" si="185"/>
        <v>0.31781403791166901</v>
      </c>
      <c r="W320" s="98" t="str">
        <f t="shared" si="176"/>
        <v>1-0.0466033941805455i</v>
      </c>
      <c r="X320" s="160">
        <f t="shared" si="186"/>
        <v>1.0010853491831491</v>
      </c>
      <c r="Y320" s="160">
        <f t="shared" si="187"/>
        <v>-4.6569699141996247E-2</v>
      </c>
      <c r="Z320" s="98" t="str">
        <f t="shared" si="177"/>
        <v>0.999220282171632+0.0979000242926847i</v>
      </c>
      <c r="AA320" s="160">
        <f t="shared" si="188"/>
        <v>1.0040047744207514</v>
      </c>
      <c r="AB320" s="160">
        <f t="shared" si="189"/>
        <v>9.7664707389030783E-2</v>
      </c>
      <c r="AC320" s="171" t="str">
        <f t="shared" si="190"/>
        <v>0.0323318521702721-0.182219219187449i</v>
      </c>
      <c r="AD320" s="190">
        <f t="shared" si="191"/>
        <v>-14.653496634212894</v>
      </c>
      <c r="AE320" s="169">
        <f t="shared" si="192"/>
        <v>-79.938506696386256</v>
      </c>
      <c r="AF320" s="98" t="str">
        <f t="shared" si="178"/>
        <v>-0.0000673063927557778</v>
      </c>
      <c r="AG320" s="98" t="str">
        <f t="shared" si="179"/>
        <v>0.000662404196625503i</v>
      </c>
      <c r="AH320" s="98">
        <f t="shared" si="193"/>
        <v>6.62404196625503E-4</v>
      </c>
      <c r="AI320" s="98">
        <f t="shared" si="194"/>
        <v>1.5707963267948966</v>
      </c>
      <c r="AJ320" s="98" t="str">
        <f t="shared" si="180"/>
        <v>1+0.666556293404702i</v>
      </c>
      <c r="AK320" s="98">
        <f t="shared" si="195"/>
        <v>1.2017892045934742</v>
      </c>
      <c r="AL320" s="98">
        <f t="shared" si="196"/>
        <v>0.58792618739667935</v>
      </c>
      <c r="AM320" s="98" t="str">
        <f t="shared" si="181"/>
        <v>1+98.6895406176256i</v>
      </c>
      <c r="AN320" s="98">
        <f t="shared" si="197"/>
        <v>98.694606880609115</v>
      </c>
      <c r="AO320" s="98">
        <f t="shared" si="198"/>
        <v>1.5606638875171459</v>
      </c>
      <c r="AP320" s="168" t="str">
        <f t="shared" si="199"/>
        <v>-6.8961160876711+4.69825882698799i</v>
      </c>
      <c r="AQ320" s="98">
        <f t="shared" si="200"/>
        <v>18.427967263694779</v>
      </c>
      <c r="AR320" s="169">
        <f t="shared" si="201"/>
        <v>145.73376479016505</v>
      </c>
      <c r="AS320" s="168" t="str">
        <f t="shared" si="202"/>
        <v>0.633148849098674+1.40850829877329i</v>
      </c>
      <c r="AT320" s="190">
        <f t="shared" si="203"/>
        <v>3.7744706294819101</v>
      </c>
      <c r="AU320" s="169">
        <f t="shared" si="204"/>
        <v>65.795258093778912</v>
      </c>
      <c r="AV320" s="225"/>
      <c r="AX320">
        <f t="shared" si="205"/>
        <v>0</v>
      </c>
      <c r="AY320">
        <f t="shared" si="206"/>
        <v>0</v>
      </c>
    </row>
    <row r="321" spans="14:51" x14ac:dyDescent="0.25">
      <c r="N321" s="170">
        <v>3</v>
      </c>
      <c r="O321" s="199">
        <f t="shared" si="208"/>
        <v>10715.193052376071</v>
      </c>
      <c r="P321" s="189" t="str">
        <f t="shared" si="173"/>
        <v>87</v>
      </c>
      <c r="Q321" s="160" t="str">
        <f t="shared" si="174"/>
        <v>1+504.941576627117i</v>
      </c>
      <c r="R321" s="160">
        <f t="shared" si="182"/>
        <v>504.94256683971366</v>
      </c>
      <c r="S321" s="160">
        <f t="shared" si="183"/>
        <v>1.5688159022489145</v>
      </c>
      <c r="T321" s="160" t="str">
        <f t="shared" si="175"/>
        <v>1+0.336627717751411i</v>
      </c>
      <c r="U321" s="160">
        <f t="shared" si="184"/>
        <v>1.0551389578432424</v>
      </c>
      <c r="V321" s="160">
        <f t="shared" si="185"/>
        <v>0.32471256430213619</v>
      </c>
      <c r="W321" s="98" t="str">
        <f t="shared" si="176"/>
        <v>1-0.0476889266814499i</v>
      </c>
      <c r="X321" s="160">
        <f t="shared" si="186"/>
        <v>1.0011364710807555</v>
      </c>
      <c r="Y321" s="160">
        <f t="shared" si="187"/>
        <v>-4.7652824010370423E-2</v>
      </c>
      <c r="Z321" s="98" t="str">
        <f t="shared" si="177"/>
        <v>0.999183535202491+0.10018040880282i</v>
      </c>
      <c r="AA321" s="160">
        <f t="shared" si="188"/>
        <v>1.0041931344754593</v>
      </c>
      <c r="AB321" s="160">
        <f t="shared" si="189"/>
        <v>9.9928318431933005E-2</v>
      </c>
      <c r="AC321" s="171" t="str">
        <f t="shared" si="190"/>
        <v>0.0322896011967692-0.178344237253618i</v>
      </c>
      <c r="AD321" s="190">
        <f t="shared" si="191"/>
        <v>-14.834740748285057</v>
      </c>
      <c r="AE321" s="169">
        <f t="shared" si="192"/>
        <v>-79.737647140151381</v>
      </c>
      <c r="AF321" s="98" t="str">
        <f t="shared" si="178"/>
        <v>-0.0000673063927557778</v>
      </c>
      <c r="AG321" s="98" t="str">
        <f t="shared" si="179"/>
        <v>0.00067783357246424i</v>
      </c>
      <c r="AH321" s="98">
        <f t="shared" si="193"/>
        <v>6.7783357246424005E-4</v>
      </c>
      <c r="AI321" s="98">
        <f t="shared" si="194"/>
        <v>1.5707963267948966</v>
      </c>
      <c r="AJ321" s="98" t="str">
        <f t="shared" si="180"/>
        <v>1+0.682082384001666i</v>
      </c>
      <c r="AK321" s="98">
        <f t="shared" si="195"/>
        <v>1.2104694868378121</v>
      </c>
      <c r="AL321" s="98">
        <f t="shared" si="196"/>
        <v>0.59859922934952026</v>
      </c>
      <c r="AM321" s="98" t="str">
        <f t="shared" si="181"/>
        <v>1+100.988315325423i</v>
      </c>
      <c r="AN321" s="98">
        <f t="shared" si="197"/>
        <v>100.99326627190085</v>
      </c>
      <c r="AO321" s="98">
        <f t="shared" si="198"/>
        <v>1.5608945147426463</v>
      </c>
      <c r="AP321" s="168" t="str">
        <f t="shared" si="199"/>
        <v>-6.79756654854961+4.73579673666905i</v>
      </c>
      <c r="AQ321" s="98">
        <f t="shared" si="200"/>
        <v>18.365436240222014</v>
      </c>
      <c r="AR321" s="169">
        <f t="shared" si="201"/>
        <v>145.13545849836328</v>
      </c>
      <c r="AS321" s="168" t="str">
        <f t="shared" si="202"/>
        <v>0.625111343828249+1.36522380925779i</v>
      </c>
      <c r="AT321" s="190">
        <f t="shared" si="203"/>
        <v>3.530695491936938</v>
      </c>
      <c r="AU321" s="169">
        <f t="shared" si="204"/>
        <v>65.39781135821184</v>
      </c>
      <c r="AV321" s="225"/>
      <c r="AX321">
        <f t="shared" si="205"/>
        <v>0</v>
      </c>
      <c r="AY321">
        <f t="shared" si="206"/>
        <v>0</v>
      </c>
    </row>
    <row r="322" spans="14:51" x14ac:dyDescent="0.25">
      <c r="N322" s="170">
        <v>4</v>
      </c>
      <c r="O322" s="199">
        <f t="shared" si="208"/>
        <v>10964.781961431856</v>
      </c>
      <c r="P322" s="189" t="str">
        <f t="shared" si="173"/>
        <v>87</v>
      </c>
      <c r="Q322" s="160" t="str">
        <f t="shared" si="174"/>
        <v>1+516.703176873724i</v>
      </c>
      <c r="R322" s="160">
        <f t="shared" si="182"/>
        <v>516.70414454637273</v>
      </c>
      <c r="S322" s="160">
        <f t="shared" si="183"/>
        <v>1.568860982101391</v>
      </c>
      <c r="T322" s="160" t="str">
        <f t="shared" si="175"/>
        <v>1+0.344468784582482i</v>
      </c>
      <c r="U322" s="160">
        <f t="shared" si="184"/>
        <v>1.0576666504866892</v>
      </c>
      <c r="V322" s="160">
        <f t="shared" si="185"/>
        <v>0.33173876028872018</v>
      </c>
      <c r="W322" s="98" t="str">
        <f t="shared" si="176"/>
        <v>1-0.0487997444825184i</v>
      </c>
      <c r="X322" s="160">
        <f t="shared" si="186"/>
        <v>1.0011899994813966</v>
      </c>
      <c r="Y322" s="160">
        <f t="shared" si="187"/>
        <v>-4.8761062256385268E-2</v>
      </c>
      <c r="Z322" s="98" t="str">
        <f t="shared" si="177"/>
        <v>0.99914505640205+0.102513910291747i</v>
      </c>
      <c r="AA322" s="160">
        <f t="shared" si="188"/>
        <v>1.0043903352461929</v>
      </c>
      <c r="AB322" s="160">
        <f t="shared" si="189"/>
        <v>0.10224385365422443</v>
      </c>
      <c r="AC322" s="171" t="str">
        <f t="shared" si="190"/>
        <v>0.0322468610383137-0.174563588647754i</v>
      </c>
      <c r="AD322" s="190">
        <f t="shared" si="191"/>
        <v>-15.015198076829188</v>
      </c>
      <c r="AE322" s="169">
        <f t="shared" si="192"/>
        <v>-79.533826419119166</v>
      </c>
      <c r="AF322" s="98" t="str">
        <f t="shared" si="178"/>
        <v>-0.0000673063927557778</v>
      </c>
      <c r="AG322" s="98" t="str">
        <f t="shared" si="179"/>
        <v>0.000693622344635286i</v>
      </c>
      <c r="AH322" s="98">
        <f t="shared" si="193"/>
        <v>6.9362234463528599E-4</v>
      </c>
      <c r="AI322" s="98">
        <f t="shared" si="194"/>
        <v>1.5707963267948966</v>
      </c>
      <c r="AJ322" s="98" t="str">
        <f t="shared" si="180"/>
        <v>1+0.697970123707055i</v>
      </c>
      <c r="AK322" s="98">
        <f t="shared" si="195"/>
        <v>1.2194926377750879</v>
      </c>
      <c r="AL322" s="98">
        <f t="shared" si="196"/>
        <v>0.60936233174580834</v>
      </c>
      <c r="AM322" s="98" t="str">
        <f t="shared" si="181"/>
        <v>1+103.340635374745i</v>
      </c>
      <c r="AN322" s="98">
        <f t="shared" si="197"/>
        <v>103.34547362925963</v>
      </c>
      <c r="AO322" s="98">
        <f t="shared" si="198"/>
        <v>1.5611198932694297</v>
      </c>
      <c r="AP322" s="168" t="str">
        <f t="shared" si="199"/>
        <v>-6.69734691069019+4.77158413094454i</v>
      </c>
      <c r="AQ322" s="98">
        <f t="shared" si="200"/>
        <v>18.300910347850291</v>
      </c>
      <c r="AR322" s="169">
        <f t="shared" si="201"/>
        <v>144.53169139496632</v>
      </c>
      <c r="AS322" s="168" t="str">
        <f t="shared" si="202"/>
        <v>0.616976434277947+1.32298152155222i</v>
      </c>
      <c r="AT322" s="190">
        <f t="shared" si="203"/>
        <v>3.2857122710210995</v>
      </c>
      <c r="AU322" s="169">
        <f t="shared" si="204"/>
        <v>64.997864975847193</v>
      </c>
      <c r="AV322" s="225"/>
      <c r="AX322">
        <f t="shared" si="205"/>
        <v>0</v>
      </c>
      <c r="AY322">
        <f t="shared" si="206"/>
        <v>0</v>
      </c>
    </row>
    <row r="323" spans="14:51" x14ac:dyDescent="0.25">
      <c r="N323" s="170">
        <v>5</v>
      </c>
      <c r="O323" s="199">
        <f t="shared" si="208"/>
        <v>11220.184543019639</v>
      </c>
      <c r="P323" s="189" t="str">
        <f t="shared" si="173"/>
        <v>87</v>
      </c>
      <c r="Q323" s="160" t="str">
        <f t="shared" si="174"/>
        <v>1+528.738739984085i</v>
      </c>
      <c r="R323" s="160">
        <f t="shared" si="182"/>
        <v>528.73968562985488</v>
      </c>
      <c r="S323" s="160">
        <f t="shared" si="183"/>
        <v>1.5689050358187471</v>
      </c>
      <c r="T323" s="160" t="str">
        <f t="shared" si="175"/>
        <v>1+0.352492493322723i</v>
      </c>
      <c r="U323" s="160">
        <f t="shared" si="184"/>
        <v>1.0603070111287909</v>
      </c>
      <c r="V323" s="160">
        <f t="shared" si="185"/>
        <v>0.33889357542283366</v>
      </c>
      <c r="W323" s="98" t="str">
        <f t="shared" si="176"/>
        <v>1-0.0499364365540525i</v>
      </c>
      <c r="X323" s="160">
        <f t="shared" si="186"/>
        <v>1.0012460475306342</v>
      </c>
      <c r="Y323" s="160">
        <f t="shared" si="187"/>
        <v>-4.9894990587404341E-2</v>
      </c>
      <c r="Z323" s="98" t="str">
        <f t="shared" si="177"/>
        <v>0.999104764151613+0.104901766012842i</v>
      </c>
      <c r="AA323" s="160">
        <f t="shared" si="188"/>
        <v>1.004596789892872</v>
      </c>
      <c r="AB323" s="160">
        <f t="shared" si="189"/>
        <v>0.10461246582819489</v>
      </c>
      <c r="AC323" s="171" t="str">
        <f t="shared" si="190"/>
        <v>0.0322035439750736-0.170875253251421i</v>
      </c>
      <c r="AD323" s="190">
        <f t="shared" si="191"/>
        <v>-15.194839882263944</v>
      </c>
      <c r="AE323" s="169">
        <f t="shared" si="192"/>
        <v>-79.327090589324015</v>
      </c>
      <c r="AF323" s="98" t="str">
        <f t="shared" si="178"/>
        <v>-0.0000673063927557778</v>
      </c>
      <c r="AG323" s="98" t="str">
        <f t="shared" si="179"/>
        <v>0.000709778884554634i</v>
      </c>
      <c r="AH323" s="98">
        <f t="shared" si="193"/>
        <v>7.0977888455463396E-4</v>
      </c>
      <c r="AI323" s="98">
        <f t="shared" si="194"/>
        <v>1.5707963267948966</v>
      </c>
      <c r="AJ323" s="98" t="str">
        <f t="shared" si="180"/>
        <v>1+0.714227936410761i</v>
      </c>
      <c r="AK323" s="98">
        <f t="shared" si="195"/>
        <v>1.2288700277692406</v>
      </c>
      <c r="AL323" s="98">
        <f t="shared" si="196"/>
        <v>0.62021122661470784</v>
      </c>
      <c r="AM323" s="98" t="str">
        <f t="shared" si="181"/>
        <v>1+105.747747996817i</v>
      </c>
      <c r="AN323" s="98">
        <f t="shared" si="197"/>
        <v>105.75247612419442</v>
      </c>
      <c r="AO323" s="98">
        <f t="shared" si="198"/>
        <v>1.5613401425045359</v>
      </c>
      <c r="AP323" s="168" t="str">
        <f t="shared" si="199"/>
        <v>-6.59552327072294+4.80553424354895i</v>
      </c>
      <c r="AQ323" s="98">
        <f t="shared" si="200"/>
        <v>18.234356664158199</v>
      </c>
      <c r="AR323" s="169">
        <f t="shared" si="201"/>
        <v>143.92271485820973</v>
      </c>
      <c r="AS323" s="168" t="str">
        <f t="shared" si="202"/>
        <v>0.608747657187455+1.28176694254627i</v>
      </c>
      <c r="AT323" s="190">
        <f t="shared" si="203"/>
        <v>3.0395167818942355</v>
      </c>
      <c r="AU323" s="169">
        <f t="shared" si="204"/>
        <v>64.595624268885643</v>
      </c>
      <c r="AV323" s="225"/>
      <c r="AX323">
        <f t="shared" si="205"/>
        <v>0</v>
      </c>
      <c r="AY323">
        <f t="shared" si="206"/>
        <v>0</v>
      </c>
    </row>
    <row r="324" spans="14:51" x14ac:dyDescent="0.25">
      <c r="N324" s="170">
        <v>6</v>
      </c>
      <c r="O324" s="199">
        <f t="shared" si="208"/>
        <v>11481.536214968832</v>
      </c>
      <c r="P324" s="189" t="str">
        <f t="shared" si="173"/>
        <v>87</v>
      </c>
      <c r="Q324" s="160" t="str">
        <f t="shared" si="174"/>
        <v>1+541.05464737307i</v>
      </c>
      <c r="R324" s="160">
        <f t="shared" si="182"/>
        <v>541.05557149335141</v>
      </c>
      <c r="S324" s="160">
        <f t="shared" si="183"/>
        <v>1.5689480867581624</v>
      </c>
      <c r="T324" s="160" t="str">
        <f t="shared" si="175"/>
        <v>1+0.360703098248712i</v>
      </c>
      <c r="U324" s="160">
        <f t="shared" si="184"/>
        <v>1.0630647793461225</v>
      </c>
      <c r="V324" s="160">
        <f t="shared" si="185"/>
        <v>0.34617787223041419</v>
      </c>
      <c r="W324" s="98" t="str">
        <f t="shared" si="176"/>
        <v>1-0.0510996055852344i</v>
      </c>
      <c r="X324" s="160">
        <f t="shared" si="186"/>
        <v>1.0013047336804948</v>
      </c>
      <c r="Y324" s="160">
        <f t="shared" si="187"/>
        <v>-5.105519855663105E-2</v>
      </c>
      <c r="Z324" s="98" t="str">
        <f t="shared" si="177"/>
        <v>0.999062572985915+0.107345242038817i</v>
      </c>
      <c r="AA324" s="160">
        <f t="shared" si="188"/>
        <v>1.0048129307137768</v>
      </c>
      <c r="AB324" s="160">
        <f t="shared" si="189"/>
        <v>0.10703533060332809</v>
      </c>
      <c r="AC324" s="171" t="str">
        <f t="shared" si="190"/>
        <v>0.0321595613416877-0.167277258785704i</v>
      </c>
      <c r="AD324" s="190">
        <f t="shared" si="191"/>
        <v>-15.373636743915975</v>
      </c>
      <c r="AE324" s="169">
        <f t="shared" si="192"/>
        <v>-79.117492708601787</v>
      </c>
      <c r="AF324" s="98" t="str">
        <f t="shared" si="178"/>
        <v>-0.0000673063927557778</v>
      </c>
      <c r="AG324" s="98" t="str">
        <f t="shared" si="179"/>
        <v>0.000726311758633607i</v>
      </c>
      <c r="AH324" s="98">
        <f t="shared" si="193"/>
        <v>7.2631175863360699E-4</v>
      </c>
      <c r="AI324" s="98">
        <f t="shared" si="194"/>
        <v>1.5707963267948966</v>
      </c>
      <c r="AJ324" s="98" t="str">
        <f t="shared" si="180"/>
        <v>1+0.730864442220275i</v>
      </c>
      <c r="AK324" s="98">
        <f t="shared" si="195"/>
        <v>1.2386132701137809</v>
      </c>
      <c r="AL324" s="98">
        <f t="shared" si="196"/>
        <v>0.63114145113737796</v>
      </c>
      <c r="AM324" s="98" t="str">
        <f t="shared" si="181"/>
        <v>1+108.210929474614i</v>
      </c>
      <c r="AN324" s="98">
        <f t="shared" si="197"/>
        <v>108.21554998132147</v>
      </c>
      <c r="AO324" s="98">
        <f t="shared" si="198"/>
        <v>1.5615553791415018</v>
      </c>
      <c r="AP324" s="168" t="str">
        <f t="shared" si="199"/>
        <v>-6.49216731043741+4.83756297633804i</v>
      </c>
      <c r="AQ324" s="98">
        <f t="shared" si="200"/>
        <v>18.16574365202754</v>
      </c>
      <c r="AR324" s="169">
        <f t="shared" si="201"/>
        <v>143.3087912748251</v>
      </c>
      <c r="AS324" s="168" t="str">
        <f t="shared" si="202"/>
        <v>0.600429021024527+1.24156585454995i</v>
      </c>
      <c r="AT324" s="190">
        <f t="shared" si="203"/>
        <v>2.7921069081115819</v>
      </c>
      <c r="AU324" s="169">
        <f t="shared" si="204"/>
        <v>64.191298566223381</v>
      </c>
      <c r="AV324" s="225"/>
      <c r="AX324">
        <f t="shared" si="205"/>
        <v>0</v>
      </c>
      <c r="AY324">
        <f t="shared" si="206"/>
        <v>0</v>
      </c>
    </row>
    <row r="325" spans="14:51" x14ac:dyDescent="0.25">
      <c r="N325" s="170">
        <v>7</v>
      </c>
      <c r="O325" s="199">
        <f t="shared" si="208"/>
        <v>11748.975549395318</v>
      </c>
      <c r="P325" s="189" t="str">
        <f t="shared" si="173"/>
        <v>87</v>
      </c>
      <c r="Q325" s="160" t="str">
        <f t="shared" si="174"/>
        <v>1+553.657429097798i</v>
      </c>
      <c r="R325" s="160">
        <f t="shared" si="182"/>
        <v>553.65833218256819</v>
      </c>
      <c r="S325" s="160">
        <f t="shared" si="183"/>
        <v>1.5689901577451761</v>
      </c>
      <c r="T325" s="160" t="str">
        <f t="shared" si="175"/>
        <v>1+0.369104952731864i</v>
      </c>
      <c r="U325" s="160">
        <f t="shared" si="184"/>
        <v>1.0659448701181462</v>
      </c>
      <c r="V325" s="160">
        <f t="shared" si="185"/>
        <v>0.35359241989108947</v>
      </c>
      <c r="W325" s="98" t="str">
        <f t="shared" si="176"/>
        <v>1-0.0522898683036809i</v>
      </c>
      <c r="X325" s="160">
        <f t="shared" si="186"/>
        <v>1.0013661819370656</v>
      </c>
      <c r="Y325" s="160">
        <f t="shared" si="187"/>
        <v>-5.2242288820708888E-2</v>
      </c>
      <c r="Z325" s="98" t="str">
        <f t="shared" si="177"/>
        <v>0.999018393411838+0.109845633933003i</v>
      </c>
      <c r="AA325" s="160">
        <f t="shared" si="188"/>
        <v>1.0050392100158647</v>
      </c>
      <c r="AB325" s="160">
        <f t="shared" si="189"/>
        <v>0.10951364676461635</v>
      </c>
      <c r="AC325" s="171" t="str">
        <f t="shared" si="190"/>
        <v>0.0321148233652978-0.163767679692162i</v>
      </c>
      <c r="AD325" s="190">
        <f t="shared" si="191"/>
        <v>-15.55155857375132</v>
      </c>
      <c r="AE325" s="169">
        <f t="shared" si="192"/>
        <v>-78.905093229015947</v>
      </c>
      <c r="AF325" s="98" t="str">
        <f t="shared" si="178"/>
        <v>-0.0000673063927557778</v>
      </c>
      <c r="AG325" s="98" t="str">
        <f t="shared" si="179"/>
        <v>0.000743229732820882i</v>
      </c>
      <c r="AH325" s="98">
        <f t="shared" si="193"/>
        <v>7.4322973282088197E-4</v>
      </c>
      <c r="AI325" s="98">
        <f t="shared" si="194"/>
        <v>1.5707963267948966</v>
      </c>
      <c r="AJ325" s="98" t="str">
        <f t="shared" si="180"/>
        <v>1+0.747888462031191i</v>
      </c>
      <c r="AK325" s="98">
        <f t="shared" si="195"/>
        <v>1.2487342197759217</v>
      </c>
      <c r="AL325" s="98">
        <f t="shared" si="196"/>
        <v>0.64214835424912675</v>
      </c>
      <c r="AM325" s="98" t="str">
        <f t="shared" si="181"/>
        <v>1+110.731485819559i</v>
      </c>
      <c r="AN325" s="98">
        <f t="shared" si="197"/>
        <v>110.73600115503176</v>
      </c>
      <c r="AO325" s="98">
        <f t="shared" si="198"/>
        <v>1.561765717221826</v>
      </c>
      <c r="AP325" s="168" t="str">
        <f t="shared" si="199"/>
        <v>-6.38735618027362+4.86758932833845i</v>
      </c>
      <c r="AQ325" s="98">
        <f t="shared" si="200"/>
        <v>18.095041270606234</v>
      </c>
      <c r="AR325" s="169">
        <f t="shared" si="201"/>
        <v>142.69019366528599</v>
      </c>
      <c r="AS325" s="168" t="str">
        <f t="shared" si="202"/>
        <v>0.592024994495587+1.2023642725052i</v>
      </c>
      <c r="AT325" s="190">
        <f t="shared" si="203"/>
        <v>2.5434826968549173</v>
      </c>
      <c r="AU325" s="169">
        <f t="shared" si="204"/>
        <v>63.785100436270064</v>
      </c>
      <c r="AV325" s="225"/>
      <c r="AX325">
        <f t="shared" si="205"/>
        <v>0</v>
      </c>
      <c r="AY325">
        <f t="shared" si="206"/>
        <v>0</v>
      </c>
    </row>
    <row r="326" spans="14:51" x14ac:dyDescent="0.25">
      <c r="N326" s="170">
        <v>8</v>
      </c>
      <c r="O326" s="199">
        <f t="shared" si="208"/>
        <v>12022.644346174151</v>
      </c>
      <c r="P326" s="189" t="str">
        <f t="shared" si="173"/>
        <v>87</v>
      </c>
      <c r="Q326" s="160" t="str">
        <f t="shared" si="174"/>
        <v>1+566.553767319955i</v>
      </c>
      <c r="R326" s="160">
        <f t="shared" si="182"/>
        <v>566.55464984803871</v>
      </c>
      <c r="S326" s="160">
        <f t="shared" si="183"/>
        <v>1.5690312710857865</v>
      </c>
      <c r="T326" s="160" t="str">
        <f t="shared" si="175"/>
        <v>1+0.377702511546636i</v>
      </c>
      <c r="U326" s="160">
        <f t="shared" si="184"/>
        <v>1.0689523783726929</v>
      </c>
      <c r="V326" s="160">
        <f t="shared" si="185"/>
        <v>0.36113788777094297</v>
      </c>
      <c r="W326" s="98" t="str">
        <f t="shared" si="176"/>
        <v>1-0.0535078558024401i</v>
      </c>
      <c r="X326" s="160">
        <f t="shared" si="186"/>
        <v>1.0014305221195201</v>
      </c>
      <c r="Y326" s="160">
        <f t="shared" si="187"/>
        <v>-5.3456877400392518E-2</v>
      </c>
      <c r="Z326" s="98" t="str">
        <f t="shared" si="177"/>
        <v>0.998972131718581+0.112404267436279i</v>
      </c>
      <c r="AA326" s="160">
        <f t="shared" si="188"/>
        <v>1.0052761010231233</v>
      </c>
      <c r="AB326" s="160">
        <f t="shared" si="189"/>
        <v>0.11204863647842014</v>
      </c>
      <c r="AC326" s="171" t="str">
        <f t="shared" si="190"/>
        <v>0.0320692390036362-0.160344636033672i</v>
      </c>
      <c r="AD326" s="190">
        <f t="shared" si="191"/>
        <v>-15.72857463550501</v>
      </c>
      <c r="AE326" s="169">
        <f t="shared" si="192"/>
        <v>-78.68996039711817</v>
      </c>
      <c r="AF326" s="98" t="str">
        <f t="shared" si="178"/>
        <v>-0.0000673063927557778</v>
      </c>
      <c r="AG326" s="98" t="str">
        <f t="shared" si="179"/>
        <v>0.000760541777250306i</v>
      </c>
      <c r="AH326" s="98">
        <f t="shared" si="193"/>
        <v>7.60541777250306E-4</v>
      </c>
      <c r="AI326" s="98">
        <f t="shared" si="194"/>
        <v>1.5707963267948966</v>
      </c>
      <c r="AJ326" s="98" t="str">
        <f t="shared" si="180"/>
        <v>1+0.765309022204148i</v>
      </c>
      <c r="AK326" s="98">
        <f t="shared" si="195"/>
        <v>1.2592449719840333</v>
      </c>
      <c r="AL326" s="98">
        <f t="shared" si="196"/>
        <v>0.65322710423142438</v>
      </c>
      <c r="AM326" s="98" t="str">
        <f t="shared" si="181"/>
        <v>1+113.310753463991i</v>
      </c>
      <c r="AN326" s="98">
        <f t="shared" si="197"/>
        <v>113.31516602192907</v>
      </c>
      <c r="AO326" s="98">
        <f t="shared" si="198"/>
        <v>1.5619712681950533</v>
      </c>
      <c r="AP326" s="168" t="str">
        <f t="shared" si="199"/>
        <v>-6.28117234436745+4.89553582118531i</v>
      </c>
      <c r="AQ326" s="98">
        <f t="shared" si="200"/>
        <v>18.022221083550964</v>
      </c>
      <c r="AR326" s="169">
        <f t="shared" si="201"/>
        <v>142.06720525226041</v>
      </c>
      <c r="AS326" s="168" t="str">
        <f t="shared" si="202"/>
        <v>0.583540492303212+1.16414840172282i</v>
      </c>
      <c r="AT326" s="190">
        <f t="shared" si="203"/>
        <v>2.2936464480459571</v>
      </c>
      <c r="AU326" s="169">
        <f t="shared" si="204"/>
        <v>63.377244855142273</v>
      </c>
      <c r="AV326" s="225"/>
      <c r="AX326">
        <f t="shared" si="205"/>
        <v>0</v>
      </c>
      <c r="AY326">
        <f t="shared" si="206"/>
        <v>0</v>
      </c>
    </row>
    <row r="327" spans="14:51" x14ac:dyDescent="0.25">
      <c r="N327" s="170">
        <v>9</v>
      </c>
      <c r="O327" s="199">
        <f t="shared" si="208"/>
        <v>12302.687708123816</v>
      </c>
      <c r="P327" s="189" t="str">
        <f t="shared" si="173"/>
        <v>87</v>
      </c>
      <c r="Q327" s="160" t="str">
        <f t="shared" si="174"/>
        <v>1+579.75049984877i</v>
      </c>
      <c r="R327" s="160">
        <f t="shared" si="182"/>
        <v>579.75136228809208</v>
      </c>
      <c r="S327" s="160">
        <f t="shared" si="183"/>
        <v>1.5690714485782746</v>
      </c>
      <c r="T327" s="160" t="str">
        <f t="shared" si="175"/>
        <v>1+0.386500333232512i</v>
      </c>
      <c r="U327" s="160">
        <f t="shared" si="184"/>
        <v>1.0720925834967998</v>
      </c>
      <c r="V327" s="160">
        <f t="shared" si="185"/>
        <v>0.36881483882693084</v>
      </c>
      <c r="W327" s="98" t="str">
        <f t="shared" si="176"/>
        <v>1-0.0547542138746061i</v>
      </c>
      <c r="X327" s="160">
        <f t="shared" si="186"/>
        <v>1.0014978901310907</v>
      </c>
      <c r="Y327" s="160">
        <f t="shared" si="187"/>
        <v>-5.4699593944159325E-2</v>
      </c>
      <c r="Z327" s="98" t="str">
        <f t="shared" si="177"/>
        <v>0.99892368977889+0.115022499169996i</v>
      </c>
      <c r="AA327" s="160">
        <f t="shared" si="188"/>
        <v>1.0055240988244805</v>
      </c>
      <c r="AB327" s="160">
        <f t="shared" si="189"/>
        <v>0.11464154552438177</v>
      </c>
      <c r="AC327" s="171" t="str">
        <f t="shared" si="190"/>
        <v>0.0320227157830492-0.157006292414289i</v>
      </c>
      <c r="AD327" s="190">
        <f t="shared" si="191"/>
        <v>-15.904653567419711</v>
      </c>
      <c r="AE327" s="169">
        <f t="shared" si="192"/>
        <v>-78.472170660916376</v>
      </c>
      <c r="AF327" s="98" t="str">
        <f t="shared" si="178"/>
        <v>-0.0000673063927557778</v>
      </c>
      <c r="AG327" s="98" t="str">
        <f t="shared" si="179"/>
        <v>0.000778257070996987i</v>
      </c>
      <c r="AH327" s="98">
        <f t="shared" si="193"/>
        <v>7.7825707099698702E-4</v>
      </c>
      <c r="AI327" s="98">
        <f t="shared" si="194"/>
        <v>1.5707963267948966</v>
      </c>
      <c r="AJ327" s="98" t="str">
        <f t="shared" si="180"/>
        <v>1+0.78313535935074i</v>
      </c>
      <c r="AK327" s="98">
        <f t="shared" si="195"/>
        <v>1.2701578606871717</v>
      </c>
      <c r="AL327" s="98">
        <f t="shared" si="196"/>
        <v>0.66437269728092641</v>
      </c>
      <c r="AM327" s="98" t="str">
        <f t="shared" si="181"/>
        <v>1+115.950099969754i</v>
      </c>
      <c r="AN327" s="98">
        <f t="shared" si="197"/>
        <v>115.95441208938945</v>
      </c>
      <c r="AO327" s="98">
        <f t="shared" si="198"/>
        <v>1.5621721409775127</v>
      </c>
      <c r="AP327" s="168" t="str">
        <f t="shared" si="199"/>
        <v>-6.17370338691515+4.92132891703961i</v>
      </c>
      <c r="AQ327" s="98">
        <f t="shared" si="200"/>
        <v>17.947256363772354</v>
      </c>
      <c r="AR327" s="169">
        <f t="shared" si="201"/>
        <v>141.44011897300757</v>
      </c>
      <c r="AS327" s="168" t="str">
        <f t="shared" si="202"/>
        <v>0.574980858127585+1.12690459643035i</v>
      </c>
      <c r="AT327" s="190">
        <f t="shared" si="203"/>
        <v>2.0426027963526585</v>
      </c>
      <c r="AU327" s="169">
        <f t="shared" si="204"/>
        <v>62.967948312091274</v>
      </c>
      <c r="AV327" s="225"/>
      <c r="AX327">
        <f t="shared" si="205"/>
        <v>0</v>
      </c>
      <c r="AY327">
        <f t="shared" si="206"/>
        <v>0</v>
      </c>
    </row>
    <row r="328" spans="14:51" x14ac:dyDescent="0.25">
      <c r="N328" s="170">
        <v>10</v>
      </c>
      <c r="O328" s="199">
        <f t="shared" si="208"/>
        <v>12589.254117941671</v>
      </c>
      <c r="P328" s="189" t="str">
        <f t="shared" si="173"/>
        <v>87</v>
      </c>
      <c r="Q328" s="160" t="str">
        <f t="shared" si="174"/>
        <v>1+593.25462376651i</v>
      </c>
      <c r="R328" s="160">
        <f t="shared" si="182"/>
        <v>593.25546657434472</v>
      </c>
      <c r="S328" s="160">
        <f t="shared" si="183"/>
        <v>1.5691107115247596</v>
      </c>
      <c r="T328" s="160" t="str">
        <f t="shared" si="175"/>
        <v>1+0.395503082511006i</v>
      </c>
      <c r="U328" s="160">
        <f t="shared" si="184"/>
        <v>1.0753709537995284</v>
      </c>
      <c r="V328" s="160">
        <f t="shared" si="185"/>
        <v>0.37662372290357055</v>
      </c>
      <c r="W328" s="98" t="str">
        <f t="shared" si="176"/>
        <v>1-0.056029603355726i</v>
      </c>
      <c r="X328" s="160">
        <f t="shared" si="186"/>
        <v>1.0015684282425241</v>
      </c>
      <c r="Y328" s="160">
        <f t="shared" si="187"/>
        <v>-5.597108199460913E-2</v>
      </c>
      <c r="Z328" s="98" t="str">
        <f t="shared" si="177"/>
        <v>0.998872964840917+0.117701717355275i</v>
      </c>
      <c r="AA328" s="160">
        <f t="shared" si="188"/>
        <v>1.0057837213628309</v>
      </c>
      <c r="AB328" s="160">
        <f t="shared" si="189"/>
        <v>0.11729364351182012</v>
      </c>
      <c r="AC328" s="171" t="str">
        <f t="shared" si="190"/>
        <v>0.0319751596363454-0.15375085691725i</v>
      </c>
      <c r="AD328" s="190">
        <f t="shared" si="191"/>
        <v>-16.07976340880132</v>
      </c>
      <c r="AE328" s="169">
        <f t="shared" si="192"/>
        <v>-78.251809082270199</v>
      </c>
      <c r="AF328" s="98" t="str">
        <f t="shared" si="178"/>
        <v>-0.0000673063927557778</v>
      </c>
      <c r="AG328" s="98" t="str">
        <f t="shared" si="179"/>
        <v>0.000796385006944162i</v>
      </c>
      <c r="AH328" s="98">
        <f t="shared" si="193"/>
        <v>7.9638500694416197E-4</v>
      </c>
      <c r="AI328" s="98">
        <f t="shared" si="194"/>
        <v>1.5707963267948966</v>
      </c>
      <c r="AJ328" s="98" t="str">
        <f t="shared" si="180"/>
        <v>1+0.801376925230882i</v>
      </c>
      <c r="AK328" s="98">
        <f t="shared" si="195"/>
        <v>1.2814854569180654</v>
      </c>
      <c r="AL328" s="98">
        <f t="shared" si="196"/>
        <v>0.67557996703345302</v>
      </c>
      <c r="AM328" s="98" t="str">
        <f t="shared" si="181"/>
        <v>1+118.650924753302i</v>
      </c>
      <c r="AN328" s="98">
        <f t="shared" si="197"/>
        <v>118.65513872063751</v>
      </c>
      <c r="AO328" s="98">
        <f t="shared" si="198"/>
        <v>1.5623684420097335</v>
      </c>
      <c r="AP328" s="168" t="str">
        <f t="shared" si="199"/>
        <v>-6.06504178007073+4.94489942498871i</v>
      </c>
      <c r="AQ328" s="98">
        <f t="shared" si="200"/>
        <v>17.870122193909566</v>
      </c>
      <c r="AR328" s="169">
        <f t="shared" si="201"/>
        <v>140.80923693698347</v>
      </c>
      <c r="AS328" s="168" t="str">
        <f t="shared" si="202"/>
        <v>0.566351844842765+1.09061931942448i</v>
      </c>
      <c r="AT328" s="190">
        <f t="shared" si="203"/>
        <v>1.7903587851082188</v>
      </c>
      <c r="AU328" s="169">
        <f t="shared" si="204"/>
        <v>62.557427854713175</v>
      </c>
      <c r="AV328" s="225"/>
      <c r="AX328">
        <f t="shared" si="205"/>
        <v>0</v>
      </c>
      <c r="AY328">
        <f t="shared" si="206"/>
        <v>0</v>
      </c>
    </row>
    <row r="329" spans="14:51" x14ac:dyDescent="0.25">
      <c r="N329" s="170">
        <v>11</v>
      </c>
      <c r="O329" s="199">
        <f t="shared" si="208"/>
        <v>12882.49551693136</v>
      </c>
      <c r="P329" s="189" t="str">
        <f t="shared" si="173"/>
        <v>87</v>
      </c>
      <c r="Q329" s="160" t="str">
        <f t="shared" si="174"/>
        <v>1+607.073299138426i</v>
      </c>
      <c r="R329" s="160">
        <f t="shared" si="182"/>
        <v>607.07412276163848</v>
      </c>
      <c r="S329" s="160">
        <f t="shared" si="183"/>
        <v>1.569149080742491</v>
      </c>
      <c r="T329" s="160" t="str">
        <f t="shared" si="175"/>
        <v>1+0.40471553275895i</v>
      </c>
      <c r="U329" s="160">
        <f t="shared" si="184"/>
        <v>1.078793150912797</v>
      </c>
      <c r="V329" s="160">
        <f t="shared" si="185"/>
        <v>0.38456486994524458</v>
      </c>
      <c r="W329" s="98" t="str">
        <f t="shared" si="176"/>
        <v>1-0.0573347004741847i</v>
      </c>
      <c r="X329" s="160">
        <f t="shared" si="186"/>
        <v>1.0016422853885836</v>
      </c>
      <c r="Y329" s="160">
        <f t="shared" si="187"/>
        <v>-5.7271999257488805E-2</v>
      </c>
      <c r="Z329" s="98" t="str">
        <f t="shared" si="177"/>
        <v>0.998819849310267+0.120443342549064i</v>
      </c>
      <c r="AA329" s="160">
        <f t="shared" si="188"/>
        <v>1.0060555104667812</v>
      </c>
      <c r="AB329" s="160">
        <f t="shared" si="189"/>
        <v>0.12000622407892325</v>
      </c>
      <c r="AC329" s="171" t="str">
        <f t="shared" si="190"/>
        <v>0.0319264747403781-0.150576580060254i</v>
      </c>
      <c r="AD329" s="190">
        <f t="shared" si="191"/>
        <v>-16.253871630594023</v>
      </c>
      <c r="AE329" s="169">
        <f t="shared" si="192"/>
        <v>-78.028969753271738</v>
      </c>
      <c r="AF329" s="98" t="str">
        <f t="shared" si="178"/>
        <v>-0.0000673063927557778</v>
      </c>
      <c r="AG329" s="98" t="str">
        <f t="shared" si="179"/>
        <v>0.000814935196763422i</v>
      </c>
      <c r="AH329" s="98">
        <f t="shared" si="193"/>
        <v>8.1493519676342199E-4</v>
      </c>
      <c r="AI329" s="98">
        <f t="shared" si="194"/>
        <v>1.5707963267948966</v>
      </c>
      <c r="AJ329" s="98" t="str">
        <f t="shared" si="180"/>
        <v>1+0.820043391764261i</v>
      </c>
      <c r="AK329" s="98">
        <f t="shared" si="195"/>
        <v>1.2932405670934675</v>
      </c>
      <c r="AL329" s="98">
        <f t="shared" si="196"/>
        <v>0.68684359501162706</v>
      </c>
      <c r="AM329" s="98" t="str">
        <f t="shared" si="181"/>
        <v>1+121.414659827685i</v>
      </c>
      <c r="AN329" s="98">
        <f t="shared" si="197"/>
        <v>121.41877787670433</v>
      </c>
      <c r="AO329" s="98">
        <f t="shared" si="198"/>
        <v>1.562560275312572</v>
      </c>
      <c r="AP329" s="168" t="str">
        <f t="shared" si="199"/>
        <v>-5.9552846140512+4.96618289189708i</v>
      </c>
      <c r="AQ329" s="98">
        <f t="shared" si="200"/>
        <v>17.790795561765606</v>
      </c>
      <c r="AR329" s="169">
        <f t="shared" si="201"/>
        <v>140.17486983045131</v>
      </c>
      <c r="AS329" s="168" t="str">
        <f t="shared" si="202"/>
        <v>0.557659592013336+1.05527910312353i</v>
      </c>
      <c r="AT329" s="190">
        <f t="shared" si="203"/>
        <v>1.5369239311715843</v>
      </c>
      <c r="AU329" s="169">
        <f t="shared" si="204"/>
        <v>62.145900077179633</v>
      </c>
      <c r="AV329" s="225"/>
      <c r="AX329">
        <f t="shared" si="205"/>
        <v>0</v>
      </c>
      <c r="AY329">
        <f t="shared" si="206"/>
        <v>0</v>
      </c>
    </row>
    <row r="330" spans="14:51" x14ac:dyDescent="0.25">
      <c r="N330" s="170">
        <v>12</v>
      </c>
      <c r="O330" s="199">
        <f t="shared" si="208"/>
        <v>13182.567385564091</v>
      </c>
      <c r="P330" s="189" t="str">
        <f t="shared" si="173"/>
        <v>87</v>
      </c>
      <c r="Q330" s="160" t="str">
        <f t="shared" si="174"/>
        <v>1+621.21385280911i</v>
      </c>
      <c r="R330" s="160">
        <f t="shared" si="182"/>
        <v>621.21465768439384</v>
      </c>
      <c r="S330" s="160">
        <f t="shared" si="183"/>
        <v>1.5691865765748836</v>
      </c>
      <c r="T330" s="160" t="str">
        <f t="shared" si="175"/>
        <v>1+0.414142568539405i</v>
      </c>
      <c r="U330" s="160">
        <f t="shared" si="184"/>
        <v>1.0823650341157625</v>
      </c>
      <c r="V330" s="160">
        <f t="shared" si="185"/>
        <v>0.39263848315031069</v>
      </c>
      <c r="W330" s="98" t="str">
        <f t="shared" si="176"/>
        <v>1-0.0586701972097492i</v>
      </c>
      <c r="X330" s="160">
        <f t="shared" si="186"/>
        <v>1.0017196174781797</v>
      </c>
      <c r="Y330" s="160">
        <f t="shared" si="187"/>
        <v>-5.860301787315049E-2</v>
      </c>
      <c r="Z330" s="98" t="str">
        <f t="shared" si="177"/>
        <v>0.998764230521778+0.123248828397327i</v>
      </c>
      <c r="AA330" s="160">
        <f t="shared" si="188"/>
        <v>1.0063400329267802</v>
      </c>
      <c r="AB330" s="160">
        <f t="shared" si="189"/>
        <v>0.12278060507291763</v>
      </c>
      <c r="AC330" s="171" t="str">
        <f t="shared" si="190"/>
        <v>0.0318765633533029-0.147481753767109i</v>
      </c>
      <c r="AD330" s="190">
        <f t="shared" si="191"/>
        <v>-16.426945170172012</v>
      </c>
      <c r="AE330" s="169">
        <f t="shared" si="192"/>
        <v>-77.803756214993683</v>
      </c>
      <c r="AF330" s="98" t="str">
        <f t="shared" si="178"/>
        <v>-0.0000673063927557778</v>
      </c>
      <c r="AG330" s="98" t="str">
        <f t="shared" si="179"/>
        <v>0.000833917476010947i</v>
      </c>
      <c r="AH330" s="98">
        <f t="shared" si="193"/>
        <v>8.3391747601094701E-4</v>
      </c>
      <c r="AI330" s="98">
        <f t="shared" si="194"/>
        <v>1.5707963267948966</v>
      </c>
      <c r="AJ330" s="98" t="str">
        <f t="shared" si="180"/>
        <v>1+0.839144656158509i</v>
      </c>
      <c r="AK330" s="98">
        <f t="shared" si="195"/>
        <v>1.3054362312879868</v>
      </c>
      <c r="AL330" s="98">
        <f t="shared" si="196"/>
        <v>0.6981581219555405</v>
      </c>
      <c r="AM330" s="98" t="str">
        <f t="shared" si="181"/>
        <v>1+124.242770561822i</v>
      </c>
      <c r="AN330" s="98">
        <f t="shared" si="197"/>
        <v>124.24679487567293</v>
      </c>
      <c r="AO330" s="98">
        <f t="shared" si="198"/>
        <v>1.5627477425420768</v>
      </c>
      <c r="AP330" s="168" t="str">
        <f t="shared" si="199"/>
        <v>-5.84453329060271+4.98511997370243i</v>
      </c>
      <c r="AQ330" s="98">
        <f t="shared" si="200"/>
        <v>17.709255449956324</v>
      </c>
      <c r="AR330" s="169">
        <f t="shared" si="201"/>
        <v>139.53733627042564</v>
      </c>
      <c r="AS330" s="168" t="str">
        <f t="shared" si="202"/>
        <v>0.548910600752694+1.02087051231388i</v>
      </c>
      <c r="AT330" s="190">
        <f t="shared" si="203"/>
        <v>1.2823102797843053</v>
      </c>
      <c r="AU330" s="169">
        <f t="shared" si="204"/>
        <v>61.733580055431901</v>
      </c>
      <c r="AV330" s="225"/>
      <c r="AX330">
        <f t="shared" si="205"/>
        <v>0</v>
      </c>
      <c r="AY330">
        <f t="shared" si="206"/>
        <v>0</v>
      </c>
    </row>
    <row r="331" spans="14:51" x14ac:dyDescent="0.25">
      <c r="N331" s="170">
        <v>13</v>
      </c>
      <c r="O331" s="199">
        <f t="shared" si="208"/>
        <v>13489.628825916556</v>
      </c>
      <c r="P331" s="189" t="str">
        <f t="shared" si="173"/>
        <v>87</v>
      </c>
      <c r="Q331" s="160" t="str">
        <f t="shared" si="174"/>
        <v>1+635.68378228729i</v>
      </c>
      <c r="R331" s="160">
        <f t="shared" si="182"/>
        <v>635.68456884139857</v>
      </c>
      <c r="S331" s="160">
        <f t="shared" si="183"/>
        <v>1.5692232189023023</v>
      </c>
      <c r="T331" s="160" t="str">
        <f t="shared" si="175"/>
        <v>1+0.423789188191526i</v>
      </c>
      <c r="U331" s="160">
        <f t="shared" si="184"/>
        <v>1.0860926645678226</v>
      </c>
      <c r="V331" s="160">
        <f t="shared" si="185"/>
        <v>0.40084463209605647</v>
      </c>
      <c r="W331" s="98" t="str">
        <f t="shared" si="176"/>
        <v>1-0.0600368016604662i</v>
      </c>
      <c r="X331" s="160">
        <f t="shared" si="186"/>
        <v>1.0018005877187426</v>
      </c>
      <c r="Y331" s="160">
        <f t="shared" si="187"/>
        <v>-5.9964824690239019E-2</v>
      </c>
      <c r="Z331" s="98" t="str">
        <f t="shared" si="177"/>
        <v>0.998705990500544+0.126119662405798i</v>
      </c>
      <c r="AA331" s="160">
        <f t="shared" si="188"/>
        <v>1.0066378816173298</v>
      </c>
      <c r="AB331" s="160">
        <f t="shared" si="189"/>
        <v>0.12561812870932548</v>
      </c>
      <c r="AC331" s="171" t="str">
        <f t="shared" si="190"/>
        <v>0.0318253256514555-0.144464710354889i</v>
      </c>
      <c r="AD331" s="190">
        <f t="shared" si="191"/>
        <v>-16.598950470532149</v>
      </c>
      <c r="AE331" s="169">
        <f t="shared" si="192"/>
        <v>-77.576281876825448</v>
      </c>
      <c r="AF331" s="98" t="str">
        <f t="shared" si="178"/>
        <v>-0.0000673063927557778</v>
      </c>
      <c r="AG331" s="98" t="str">
        <f t="shared" si="179"/>
        <v>0.000853341909342456i</v>
      </c>
      <c r="AH331" s="98">
        <f t="shared" si="193"/>
        <v>8.5334190934245602E-4</v>
      </c>
      <c r="AI331" s="98">
        <f t="shared" si="194"/>
        <v>1.5707963267948966</v>
      </c>
      <c r="AJ331" s="98" t="str">
        <f t="shared" si="180"/>
        <v>1+0.858690846156845i</v>
      </c>
      <c r="AK331" s="98">
        <f t="shared" si="195"/>
        <v>1.3180857215194914</v>
      </c>
      <c r="AL331" s="98">
        <f t="shared" si="196"/>
        <v>0.70951795998667788</v>
      </c>
      <c r="AM331" s="98" t="str">
        <f t="shared" si="181"/>
        <v>1+127.136756457458i</v>
      </c>
      <c r="AN331" s="98">
        <f t="shared" si="197"/>
        <v>127.14068916960845</v>
      </c>
      <c r="AO331" s="98">
        <f t="shared" si="198"/>
        <v>1.5629309430431171</v>
      </c>
      <c r="AP331" s="168" t="str">
        <f t="shared" si="199"/>
        <v>-5.73289318145769+5.00165678323999i</v>
      </c>
      <c r="AQ331" s="98">
        <f t="shared" si="200"/>
        <v>17.625482919052267</v>
      </c>
      <c r="AR331" s="169">
        <f t="shared" si="201"/>
        <v>138.8969621108036</v>
      </c>
      <c r="AS331" s="168" t="str">
        <f t="shared" si="202"/>
        <v>0.540111706060431+0.987380108878227i</v>
      </c>
      <c r="AT331" s="190">
        <f t="shared" si="203"/>
        <v>1.0265324485201133</v>
      </c>
      <c r="AU331" s="169">
        <f t="shared" si="204"/>
        <v>61.320680233978145</v>
      </c>
      <c r="AV331" s="225"/>
      <c r="AX331">
        <f t="shared" si="205"/>
        <v>0</v>
      </c>
      <c r="AY331">
        <f t="shared" si="206"/>
        <v>0</v>
      </c>
    </row>
    <row r="332" spans="14:51" x14ac:dyDescent="0.25">
      <c r="N332" s="170">
        <v>14</v>
      </c>
      <c r="O332" s="199">
        <f t="shared" si="208"/>
        <v>13803.842646028841</v>
      </c>
      <c r="P332" s="189" t="str">
        <f t="shared" si="173"/>
        <v>87</v>
      </c>
      <c r="Q332" s="160" t="str">
        <f t="shared" si="174"/>
        <v>1+650.490759721107i</v>
      </c>
      <c r="R332" s="160">
        <f t="shared" si="182"/>
        <v>650.49152837107954</v>
      </c>
      <c r="S332" s="160">
        <f t="shared" si="183"/>
        <v>1.5692590271526001</v>
      </c>
      <c r="T332" s="160" t="str">
        <f t="shared" si="175"/>
        <v>1+0.433660506480737i</v>
      </c>
      <c r="U332" s="160">
        <f t="shared" si="184"/>
        <v>1.0899823094349419</v>
      </c>
      <c r="V332" s="160">
        <f t="shared" si="185"/>
        <v>0.40918324586645449</v>
      </c>
      <c r="W332" s="98" t="str">
        <f t="shared" si="176"/>
        <v>1-0.0614352384181045i</v>
      </c>
      <c r="X332" s="160">
        <f t="shared" si="186"/>
        <v>1.0018853669554664</v>
      </c>
      <c r="Y332" s="160">
        <f t="shared" si="187"/>
        <v>-6.1358121541374676E-2</v>
      </c>
      <c r="Z332" s="98" t="str">
        <f t="shared" si="177"/>
        <v>0.998645005711671+0.129057366728667i</v>
      </c>
      <c r="AA332" s="160">
        <f t="shared" si="188"/>
        <v>1.0069496766670125</v>
      </c>
      <c r="AB332" s="160">
        <f t="shared" si="189"/>
        <v>0.12852016170822031</v>
      </c>
      <c r="AC332" s="171" t="str">
        <f t="shared" si="190"/>
        <v>0.0317726595658392-0.141523821535668i</v>
      </c>
      <c r="AD332" s="190">
        <f t="shared" si="191"/>
        <v>-16.769853524062995</v>
      </c>
      <c r="AE332" s="169">
        <f t="shared" si="192"/>
        <v>-77.3466704344291</v>
      </c>
      <c r="AF332" s="98" t="str">
        <f t="shared" si="178"/>
        <v>-0.0000673063927557778</v>
      </c>
      <c r="AG332" s="98" t="str">
        <f t="shared" si="179"/>
        <v>0.000873218795849612i</v>
      </c>
      <c r="AH332" s="98">
        <f t="shared" si="193"/>
        <v>8.7321879584961195E-4</v>
      </c>
      <c r="AI332" s="98">
        <f t="shared" si="194"/>
        <v>1.5707963267948966</v>
      </c>
      <c r="AJ332" s="98" t="str">
        <f t="shared" si="180"/>
        <v>1+0.878692325407929i</v>
      </c>
      <c r="AK332" s="98">
        <f t="shared" si="195"/>
        <v>1.3312025400857654</v>
      </c>
      <c r="AL332" s="98">
        <f t="shared" si="196"/>
        <v>0.72091740554639605</v>
      </c>
      <c r="AM332" s="98" t="str">
        <f t="shared" si="181"/>
        <v>1+130.098151944221i</v>
      </c>
      <c r="AN332" s="98">
        <f t="shared" si="197"/>
        <v>130.10199513958892</v>
      </c>
      <c r="AO332" s="98">
        <f t="shared" si="198"/>
        <v>1.5631099739018064</v>
      </c>
      <c r="AP332" s="168" t="str">
        <f t="shared" si="199"/>
        <v>-5.62047325388583+5.01574521083046i</v>
      </c>
      <c r="AQ332" s="98">
        <f t="shared" si="200"/>
        <v>17.539461183531003</v>
      </c>
      <c r="AR332" s="169">
        <f t="shared" si="201"/>
        <v>138.25407970404811</v>
      </c>
      <c r="AS332" s="168" t="str">
        <f t="shared" si="202"/>
        <v>0.531270046791332+0.954794418781638i</v>
      </c>
      <c r="AT332" s="190">
        <f t="shared" si="203"/>
        <v>0.76960765946800502</v>
      </c>
      <c r="AU332" s="169">
        <f t="shared" si="204"/>
        <v>60.907409269619031</v>
      </c>
      <c r="AV332" s="225"/>
      <c r="AX332">
        <f t="shared" si="205"/>
        <v>0</v>
      </c>
      <c r="AY332">
        <f t="shared" si="206"/>
        <v>0</v>
      </c>
    </row>
    <row r="333" spans="14:51" x14ac:dyDescent="0.25">
      <c r="N333" s="170">
        <v>15</v>
      </c>
      <c r="O333" s="199">
        <f t="shared" si="208"/>
        <v>14125.375446227561</v>
      </c>
      <c r="P333" s="189" t="str">
        <f t="shared" si="173"/>
        <v>87</v>
      </c>
      <c r="Q333" s="160" t="str">
        <f t="shared" si="174"/>
        <v>1+665.642635965994i</v>
      </c>
      <c r="R333" s="160">
        <f t="shared" si="182"/>
        <v>665.64338711937694</v>
      </c>
      <c r="S333" s="160">
        <f t="shared" si="183"/>
        <v>1.5692940203114178</v>
      </c>
      <c r="T333" s="160" t="str">
        <f t="shared" si="175"/>
        <v>1+0.443761757310661i</v>
      </c>
      <c r="U333" s="160">
        <f t="shared" si="184"/>
        <v>1.0940404458937731</v>
      </c>
      <c r="V333" s="160">
        <f t="shared" si="185"/>
        <v>0.41765410621765681</v>
      </c>
      <c r="W333" s="98" t="str">
        <f t="shared" si="176"/>
        <v>1-0.0628662489523438i</v>
      </c>
      <c r="X333" s="160">
        <f t="shared" si="186"/>
        <v>1.0019741340260926</v>
      </c>
      <c r="Y333" s="160">
        <f t="shared" si="187"/>
        <v>-6.2783625520578548E-2</v>
      </c>
      <c r="Z333" s="98" t="str">
        <f t="shared" si="177"/>
        <v>0.998581146798244+0.132063498975653i</v>
      </c>
      <c r="AA333" s="160">
        <f t="shared" si="188"/>
        <v>1.0072760666781417</v>
      </c>
      <c r="AB333" s="160">
        <f t="shared" si="189"/>
        <v>0.13148809540533418</v>
      </c>
      <c r="AC333" s="171" t="str">
        <f t="shared" si="190"/>
        <v>0.031718460618225-0.138657497431951i</v>
      </c>
      <c r="AD333" s="190">
        <f t="shared" si="191"/>
        <v>-16.939619921046685</v>
      </c>
      <c r="AE333" s="169">
        <f t="shared" si="192"/>
        <v>-77.115056284179346</v>
      </c>
      <c r="AF333" s="98" t="str">
        <f t="shared" si="178"/>
        <v>-0.0000673063927557778</v>
      </c>
      <c r="AG333" s="98" t="str">
        <f t="shared" si="179"/>
        <v>0.000893558674520748i</v>
      </c>
      <c r="AH333" s="98">
        <f t="shared" si="193"/>
        <v>8.9355867452074798E-4</v>
      </c>
      <c r="AI333" s="98">
        <f t="shared" si="194"/>
        <v>1.5707963267948966</v>
      </c>
      <c r="AJ333" s="98" t="str">
        <f t="shared" si="180"/>
        <v>1+0.899159698960816i</v>
      </c>
      <c r="AK333" s="98">
        <f t="shared" si="195"/>
        <v>1.3448004179934305</v>
      </c>
      <c r="AL333" s="98">
        <f t="shared" si="196"/>
        <v>0.73235065304183844</v>
      </c>
      <c r="AM333" s="98" t="str">
        <f t="shared" si="181"/>
        <v>1+133.128527193198i</v>
      </c>
      <c r="AN333" s="98">
        <f t="shared" si="197"/>
        <v>133.13228290925557</v>
      </c>
      <c r="AO333" s="98">
        <f t="shared" si="198"/>
        <v>1.5632849299967424</v>
      </c>
      <c r="AP333" s="168" t="str">
        <f t="shared" si="199"/>
        <v>-5.50738566589708+5.02734321408238i</v>
      </c>
      <c r="AQ333" s="98">
        <f t="shared" si="200"/>
        <v>17.451175679903645</v>
      </c>
      <c r="AR333" s="169">
        <f t="shared" si="201"/>
        <v>137.60902712227065</v>
      </c>
      <c r="AS333" s="168" t="str">
        <f t="shared" si="202"/>
        <v>0.52239303344303+0.923099901576061i</v>
      </c>
      <c r="AT333" s="190">
        <f t="shared" si="203"/>
        <v>0.51155575885695892</v>
      </c>
      <c r="AU333" s="169">
        <f t="shared" si="204"/>
        <v>60.493970838091336</v>
      </c>
      <c r="AV333" s="225"/>
      <c r="AX333">
        <f t="shared" si="205"/>
        <v>0</v>
      </c>
      <c r="AY333">
        <f t="shared" si="206"/>
        <v>0</v>
      </c>
    </row>
    <row r="334" spans="14:51" x14ac:dyDescent="0.25">
      <c r="N334" s="170">
        <v>16</v>
      </c>
      <c r="O334" s="199">
        <f t="shared" si="208"/>
        <v>14454.397707459291</v>
      </c>
      <c r="P334" s="189" t="str">
        <f t="shared" si="173"/>
        <v>87</v>
      </c>
      <c r="Q334" s="160" t="str">
        <f t="shared" si="174"/>
        <v>1+681.14744474729i</v>
      </c>
      <c r="R334" s="160">
        <f t="shared" si="182"/>
        <v>681.14817880235319</v>
      </c>
      <c r="S334" s="160">
        <f t="shared" si="183"/>
        <v>1.5693282169322484</v>
      </c>
      <c r="T334" s="160" t="str">
        <f t="shared" si="175"/>
        <v>1+0.454098296498192i</v>
      </c>
      <c r="U334" s="160">
        <f t="shared" si="184"/>
        <v>1.0982737649978533</v>
      </c>
      <c r="V334" s="160">
        <f t="shared" si="185"/>
        <v>0.42625684081899984</v>
      </c>
      <c r="W334" s="98" t="str">
        <f t="shared" si="176"/>
        <v>1-0.0643305920039107i</v>
      </c>
      <c r="X334" s="160">
        <f t="shared" si="186"/>
        <v>1.0020670761319193</v>
      </c>
      <c r="Y334" s="160">
        <f t="shared" si="187"/>
        <v>-6.4242069262156046E-2</v>
      </c>
      <c r="Z334" s="98" t="str">
        <f t="shared" si="177"/>
        <v>0.998514278306948+0.135139653037862i</v>
      </c>
      <c r="AA334" s="160">
        <f t="shared" si="188"/>
        <v>1.0076177299978593</v>
      </c>
      <c r="AB334" s="160">
        <f t="shared" si="189"/>
        <v>0.13452334583566761</v>
      </c>
      <c r="AC334" s="171" t="str">
        <f t="shared" si="190"/>
        <v>0.0316626217568995-0.135864185604875i</v>
      </c>
      <c r="AD334" s="190">
        <f t="shared" si="191"/>
        <v>-17.108214903033716</v>
      </c>
      <c r="AE334" s="169">
        <f t="shared" si="192"/>
        <v>-76.881584931771499</v>
      </c>
      <c r="AF334" s="98" t="str">
        <f t="shared" si="178"/>
        <v>-0.0000673063927557778</v>
      </c>
      <c r="AG334" s="98" t="str">
        <f t="shared" si="179"/>
        <v>0.000914372329828761i</v>
      </c>
      <c r="AH334" s="98">
        <f t="shared" si="193"/>
        <v>9.1437232982876098E-4</v>
      </c>
      <c r="AI334" s="98">
        <f t="shared" si="194"/>
        <v>1.5707963267948966</v>
      </c>
      <c r="AJ334" s="98" t="str">
        <f t="shared" si="180"/>
        <v>1+0.920103818887875i</v>
      </c>
      <c r="AK334" s="98">
        <f t="shared" si="195"/>
        <v>1.3588933135209884</v>
      </c>
      <c r="AL334" s="98">
        <f t="shared" si="196"/>
        <v>0.74381180912421874</v>
      </c>
      <c r="AM334" s="98" t="str">
        <f t="shared" si="181"/>
        <v>1+136.229488949458i</v>
      </c>
      <c r="AN334" s="98">
        <f t="shared" si="197"/>
        <v>136.2331591773108</v>
      </c>
      <c r="AO334" s="98">
        <f t="shared" si="198"/>
        <v>1.5634559040490956</v>
      </c>
      <c r="AP334" s="168" t="str">
        <f t="shared" si="199"/>
        <v>-5.3937453340863+5.03641507363697i</v>
      </c>
      <c r="AQ334" s="98">
        <f t="shared" si="200"/>
        <v>17.360614126435557</v>
      </c>
      <c r="AR334" s="169">
        <f t="shared" si="201"/>
        <v>136.96214734201561</v>
      </c>
      <c r="AS334" s="168" t="str">
        <f t="shared" si="202"/>
        <v>0.513488313981587+0.892282922663044i</v>
      </c>
      <c r="AT334" s="190">
        <f t="shared" si="203"/>
        <v>0.25239922340183729</v>
      </c>
      <c r="AU334" s="169">
        <f t="shared" si="204"/>
        <v>60.080562410244148</v>
      </c>
      <c r="AV334" s="225"/>
      <c r="AX334">
        <f t="shared" si="205"/>
        <v>14454.397707459291</v>
      </c>
      <c r="AY334">
        <f t="shared" si="206"/>
        <v>60.080562410244148</v>
      </c>
    </row>
    <row r="335" spans="14:51" x14ac:dyDescent="0.25">
      <c r="N335" s="170">
        <v>17</v>
      </c>
      <c r="O335" s="199">
        <f t="shared" si="208"/>
        <v>14791.083881682089</v>
      </c>
      <c r="P335" s="189" t="str">
        <f t="shared" si="173"/>
        <v>87</v>
      </c>
      <c r="Q335" s="160" t="str">
        <f t="shared" si="174"/>
        <v>1+697.013406919844i</v>
      </c>
      <c r="R335" s="160">
        <f t="shared" si="182"/>
        <v>697.01412426579134</v>
      </c>
      <c r="S335" s="160">
        <f t="shared" si="183"/>
        <v>1.5693616351462731</v>
      </c>
      <c r="T335" s="160" t="str">
        <f t="shared" si="175"/>
        <v>1+0.464675604613228i</v>
      </c>
      <c r="U335" s="160">
        <f t="shared" si="184"/>
        <v>1.1026891753901773</v>
      </c>
      <c r="V335" s="160">
        <f t="shared" si="185"/>
        <v>0.43499091661022538</v>
      </c>
      <c r="W335" s="98" t="str">
        <f t="shared" si="176"/>
        <v>1-0.0658290439868742i</v>
      </c>
      <c r="X335" s="160">
        <f t="shared" si="186"/>
        <v>1.0021643892257526</v>
      </c>
      <c r="Y335" s="160">
        <f t="shared" si="187"/>
        <v>-6.5734201220733229E-2</v>
      </c>
      <c r="Z335" s="98" t="str">
        <f t="shared" si="177"/>
        <v>0.998444258400747+0.138287459932897i</v>
      </c>
      <c r="AA335" s="160">
        <f t="shared" si="188"/>
        <v>1.0079753760425449</v>
      </c>
      <c r="AB335" s="160">
        <f t="shared" si="189"/>
        <v>0.13762735378716787</v>
      </c>
      <c r="AC335" s="171" t="str">
        <f t="shared" si="190"/>
        <v>0.0316050331921266-0.133142370094256i</v>
      </c>
      <c r="AD335" s="190">
        <f t="shared" si="191"/>
        <v>-17.275603421207904</v>
      </c>
      <c r="AE335" s="169">
        <f t="shared" si="192"/>
        <v>-76.64641339250835</v>
      </c>
      <c r="AF335" s="98" t="str">
        <f t="shared" si="178"/>
        <v>-0.0000673063927557778</v>
      </c>
      <c r="AG335" s="98" t="str">
        <f t="shared" si="179"/>
        <v>0.000935670797449197i</v>
      </c>
      <c r="AH335" s="98">
        <f t="shared" si="193"/>
        <v>9.3567079744919705E-4</v>
      </c>
      <c r="AI335" s="98">
        <f t="shared" si="194"/>
        <v>1.5707963267948966</v>
      </c>
      <c r="AJ335" s="98" t="str">
        <f t="shared" si="180"/>
        <v>1+0.941535790038723i</v>
      </c>
      <c r="AK335" s="98">
        <f t="shared" si="195"/>
        <v>1.3734954109584212</v>
      </c>
      <c r="AL335" s="98">
        <f t="shared" si="196"/>
        <v>0.7552949075172849</v>
      </c>
      <c r="AM335" s="98" t="str">
        <f t="shared" si="181"/>
        <v>1+139.402681383968i</v>
      </c>
      <c r="AN335" s="98">
        <f t="shared" si="197"/>
        <v>139.40626806940961</v>
      </c>
      <c r="AO335" s="98">
        <f t="shared" si="198"/>
        <v>1.563622986671565</v>
      </c>
      <c r="AP335" s="168" t="str">
        <f t="shared" si="199"/>
        <v>-5.27966947750503+5.04293161191863i</v>
      </c>
      <c r="AQ335" s="98">
        <f t="shared" si="200"/>
        <v>17.267766573944634</v>
      </c>
      <c r="AR335" s="169">
        <f t="shared" si="201"/>
        <v>136.31378739745699</v>
      </c>
      <c r="AS335" s="168" t="str">
        <f t="shared" si="202"/>
        <v>0.504563737954089+0.862329728529635i</v>
      </c>
      <c r="AT335" s="190">
        <f t="shared" si="203"/>
        <v>-7.8368472632681929E-3</v>
      </c>
      <c r="AU335" s="169">
        <f t="shared" si="204"/>
        <v>59.667374004948655</v>
      </c>
      <c r="AV335" s="225"/>
      <c r="AX335">
        <f t="shared" si="205"/>
        <v>0</v>
      </c>
      <c r="AY335">
        <f t="shared" si="206"/>
        <v>0</v>
      </c>
    </row>
    <row r="336" spans="14:51" x14ac:dyDescent="0.25">
      <c r="N336" s="170">
        <v>18</v>
      </c>
      <c r="O336" s="199">
        <f t="shared" si="208"/>
        <v>15135.612484362096</v>
      </c>
      <c r="P336" s="189" t="str">
        <f t="shared" si="173"/>
        <v>87</v>
      </c>
      <c r="Q336" s="160" t="str">
        <f t="shared" si="174"/>
        <v>1+713.24893482681i</v>
      </c>
      <c r="R336" s="160">
        <f t="shared" si="182"/>
        <v>713.24963584398631</v>
      </c>
      <c r="S336" s="160">
        <f t="shared" si="183"/>
        <v>1.5693942926719722</v>
      </c>
      <c r="T336" s="160" t="str">
        <f t="shared" si="175"/>
        <v>1+0.475499289884539i</v>
      </c>
      <c r="U336" s="160">
        <f t="shared" si="184"/>
        <v>1.1072938068465392</v>
      </c>
      <c r="V336" s="160">
        <f t="shared" si="185"/>
        <v>0.4438556333182998</v>
      </c>
      <c r="W336" s="98" t="str">
        <f t="shared" si="176"/>
        <v>1-0.0673623994003098i</v>
      </c>
      <c r="X336" s="160">
        <f t="shared" si="186"/>
        <v>1.0022662784175504</v>
      </c>
      <c r="Y336" s="160">
        <f t="shared" si="187"/>
        <v>-6.7260785952101901E-2</v>
      </c>
      <c r="Z336" s="98" t="str">
        <f t="shared" si="177"/>
        <v>0.998370938558032+0.141508588669639i</v>
      </c>
      <c r="AA336" s="160">
        <f t="shared" si="188"/>
        <v>1.0083497466774705</v>
      </c>
      <c r="AB336" s="160">
        <f t="shared" si="189"/>
        <v>0.14080158482182889</v>
      </c>
      <c r="AC336" s="171" t="str">
        <f t="shared" si="190"/>
        <v>0.0315455822314238-0.130490570469563i</v>
      </c>
      <c r="AD336" s="190">
        <f t="shared" si="191"/>
        <v>-17.441750199832651</v>
      </c>
      <c r="AE336" s="169">
        <f t="shared" si="192"/>
        <v>-76.40971058061055</v>
      </c>
      <c r="AF336" s="98" t="str">
        <f t="shared" si="178"/>
        <v>-0.0000673063927557778</v>
      </c>
      <c r="AG336" s="98" t="str">
        <f t="shared" si="179"/>
        <v>0.000957465370111508i</v>
      </c>
      <c r="AH336" s="98">
        <f t="shared" si="193"/>
        <v>9.5746537011150796E-4</v>
      </c>
      <c r="AI336" s="98">
        <f t="shared" si="194"/>
        <v>1.5707963267948966</v>
      </c>
      <c r="AJ336" s="98" t="str">
        <f t="shared" si="180"/>
        <v>1+0.963466975928148i</v>
      </c>
      <c r="AK336" s="98">
        <f t="shared" si="195"/>
        <v>1.3886211195657836</v>
      </c>
      <c r="AL336" s="98">
        <f t="shared" si="196"/>
        <v>0.76679392430734528</v>
      </c>
      <c r="AM336" s="98" t="str">
        <f t="shared" si="181"/>
        <v>1+142.649786965362i</v>
      </c>
      <c r="AN336" s="98">
        <f t="shared" si="197"/>
        <v>142.65329200990479</v>
      </c>
      <c r="AO336" s="98">
        <f t="shared" si="198"/>
        <v>1.5637862664162321</v>
      </c>
      <c r="AP336" s="168" t="str">
        <f t="shared" si="199"/>
        <v>-5.16527714130099+5.0468703723435i</v>
      </c>
      <c r="AQ336" s="98">
        <f t="shared" si="200"/>
        <v>17.172625447234044</v>
      </c>
      <c r="AR336" s="169">
        <f t="shared" si="201"/>
        <v>135.66429750708582</v>
      </c>
      <c r="AS336" s="168" t="str">
        <f t="shared" si="202"/>
        <v>0.495627319164035+0.833226425143858i</v>
      </c>
      <c r="AT336" s="190">
        <f t="shared" si="203"/>
        <v>-0.26912475259860769</v>
      </c>
      <c r="AU336" s="169">
        <f t="shared" si="204"/>
        <v>59.254586926475255</v>
      </c>
      <c r="AV336" s="225"/>
      <c r="AX336">
        <f t="shared" si="205"/>
        <v>0</v>
      </c>
      <c r="AY336">
        <f t="shared" si="206"/>
        <v>0</v>
      </c>
    </row>
    <row r="337" spans="14:51" x14ac:dyDescent="0.25">
      <c r="N337" s="170">
        <v>19</v>
      </c>
      <c r="O337" s="199">
        <f t="shared" si="208"/>
        <v>15488.166189124853</v>
      </c>
      <c r="P337" s="189" t="str">
        <f t="shared" si="173"/>
        <v>87</v>
      </c>
      <c r="Q337" s="160" t="str">
        <f t="shared" si="174"/>
        <v>1+729.862636759989i</v>
      </c>
      <c r="R337" s="160">
        <f t="shared" si="182"/>
        <v>729.8633218200813</v>
      </c>
      <c r="S337" s="160">
        <f t="shared" si="183"/>
        <v>1.5694262068245195</v>
      </c>
      <c r="T337" s="160" t="str">
        <f t="shared" si="175"/>
        <v>1+0.486575091173324i</v>
      </c>
      <c r="U337" s="160">
        <f t="shared" si="184"/>
        <v>1.1120950136343246</v>
      </c>
      <c r="V337" s="160">
        <f t="shared" si="185"/>
        <v>0.45285011717984358</v>
      </c>
      <c r="W337" s="98" t="str">
        <f t="shared" si="176"/>
        <v>1-0.0689314712495544i</v>
      </c>
      <c r="X337" s="160">
        <f t="shared" si="186"/>
        <v>1.0023729583985335</v>
      </c>
      <c r="Y337" s="160">
        <f t="shared" si="187"/>
        <v>-6.8822604394505882E-2</v>
      </c>
      <c r="Z337" s="98" t="str">
        <f t="shared" si="177"/>
        <v>0.998294163257586+0.144804747133181i</v>
      </c>
      <c r="AA337" s="160">
        <f t="shared" si="188"/>
        <v>1.008741617653633</v>
      </c>
      <c r="AB337" s="160">
        <f t="shared" si="189"/>
        <v>0.14404752926146577</v>
      </c>
      <c r="AC337" s="171" t="str">
        <f t="shared" si="190"/>
        <v>0.0314841531147861-0.12790734089086i</v>
      </c>
      <c r="AD337" s="190">
        <f t="shared" si="191"/>
        <v>-17.606619804842516</v>
      </c>
      <c r="AE337" s="169">
        <f t="shared" si="192"/>
        <v>-76.171657684733844</v>
      </c>
      <c r="AF337" s="98" t="str">
        <f t="shared" si="178"/>
        <v>-0.0000673063927557778</v>
      </c>
      <c r="AG337" s="98" t="str">
        <f t="shared" si="179"/>
        <v>0.000979767603586606i</v>
      </c>
      <c r="AH337" s="98">
        <f t="shared" si="193"/>
        <v>9.7976760358660592E-4</v>
      </c>
      <c r="AI337" s="98">
        <f t="shared" si="194"/>
        <v>1.5707963267948966</v>
      </c>
      <c r="AJ337" s="98" t="str">
        <f t="shared" si="180"/>
        <v>1+0.985909004761205i</v>
      </c>
      <c r="AK337" s="98">
        <f t="shared" si="195"/>
        <v>1.4042850727929959</v>
      </c>
      <c r="AL337" s="98">
        <f t="shared" si="196"/>
        <v>0.77830279360092158</v>
      </c>
      <c r="AM337" s="98" t="str">
        <f t="shared" si="181"/>
        <v>1+145.972527351997i</v>
      </c>
      <c r="AN337" s="98">
        <f t="shared" si="197"/>
        <v>145.97595261387923</v>
      </c>
      <c r="AO337" s="98">
        <f t="shared" si="198"/>
        <v>1.563945829821334</v>
      </c>
      <c r="AP337" s="168" t="str">
        <f t="shared" si="199"/>
        <v>-5.05068870416613+5.04821575687248i</v>
      </c>
      <c r="AQ337" s="98">
        <f t="shared" si="200"/>
        <v>17.075185576790904</v>
      </c>
      <c r="AR337" s="169">
        <f t="shared" si="201"/>
        <v>135.01403017927331</v>
      </c>
      <c r="AS337" s="168" t="str">
        <f t="shared" si="202"/>
        <v>0.486687197207812+0.804958959663242i</v>
      </c>
      <c r="AT337" s="190">
        <f t="shared" si="203"/>
        <v>-0.53143422805161655</v>
      </c>
      <c r="AU337" s="169">
        <f t="shared" si="204"/>
        <v>58.842372494539482</v>
      </c>
      <c r="AV337" s="225"/>
      <c r="AX337">
        <f t="shared" si="205"/>
        <v>0</v>
      </c>
      <c r="AY337">
        <f t="shared" si="206"/>
        <v>0</v>
      </c>
    </row>
    <row r="338" spans="14:51" x14ac:dyDescent="0.25">
      <c r="N338" s="170">
        <v>20</v>
      </c>
      <c r="O338" s="199">
        <f t="shared" si="208"/>
        <v>15848.931924611146</v>
      </c>
      <c r="P338" s="189" t="str">
        <f t="shared" si="173"/>
        <v>87</v>
      </c>
      <c r="Q338" s="160" t="str">
        <f t="shared" si="174"/>
        <v>1+746.863321524048i</v>
      </c>
      <c r="R338" s="160">
        <f t="shared" si="182"/>
        <v>746.86399099028313</v>
      </c>
      <c r="S338" s="160">
        <f t="shared" si="183"/>
        <v>1.5694573945249608</v>
      </c>
      <c r="T338" s="160" t="str">
        <f t="shared" si="175"/>
        <v>1+0.497908881016031i</v>
      </c>
      <c r="U338" s="160">
        <f t="shared" si="184"/>
        <v>1.1171003776718706</v>
      </c>
      <c r="V338" s="160">
        <f t="shared" si="185"/>
        <v>0.46197331491756138</v>
      </c>
      <c r="W338" s="98" t="str">
        <f t="shared" si="176"/>
        <v>1-0.0705370914772712i</v>
      </c>
      <c r="X338" s="160">
        <f t="shared" si="186"/>
        <v>1.0024846538845735</v>
      </c>
      <c r="Y338" s="160">
        <f t="shared" si="187"/>
        <v>-7.0420454149958109E-2</v>
      </c>
      <c r="Z338" s="98" t="str">
        <f t="shared" si="177"/>
        <v>0.998213769648704+0.148177682990371i</v>
      </c>
      <c r="AA338" s="160">
        <f t="shared" si="188"/>
        <v>1.0091518001037658</v>
      </c>
      <c r="AB338" s="160">
        <f t="shared" si="189"/>
        <v>0.14736670213521413</v>
      </c>
      <c r="AC338" s="171" t="str">
        <f t="shared" si="190"/>
        <v>0.0314206268500308-0.125391269178785i</v>
      </c>
      <c r="AD338" s="190">
        <f t="shared" si="191"/>
        <v>-17.770176717609591</v>
      </c>
      <c r="AE338" s="169">
        <f t="shared" si="192"/>
        <v>-75.932448526730852</v>
      </c>
      <c r="AF338" s="98" t="str">
        <f t="shared" si="178"/>
        <v>-0.0000673063927557778</v>
      </c>
      <c r="AG338" s="98" t="str">
        <f t="shared" si="179"/>
        <v>0.00100258932281388i</v>
      </c>
      <c r="AH338" s="98">
        <f t="shared" si="193"/>
        <v>1.0025893228138799E-3</v>
      </c>
      <c r="AI338" s="98">
        <f t="shared" si="194"/>
        <v>1.5707963267948966</v>
      </c>
      <c r="AJ338" s="98" t="str">
        <f t="shared" si="180"/>
        <v>1+1.00887377559863i</v>
      </c>
      <c r="AK338" s="98">
        <f t="shared" si="195"/>
        <v>1.4205021278022201</v>
      </c>
      <c r="AL338" s="98">
        <f t="shared" si="196"/>
        <v>0.78981542345169076</v>
      </c>
      <c r="AM338" s="98" t="str">
        <f t="shared" si="181"/>
        <v>1+149.372664304809i</v>
      </c>
      <c r="AN338" s="98">
        <f t="shared" si="197"/>
        <v>149.37601159997934</v>
      </c>
      <c r="AO338" s="98">
        <f t="shared" si="198"/>
        <v>1.5641017614569814</v>
      </c>
      <c r="AP338" s="168" t="str">
        <f t="shared" si="199"/>
        <v>-4.9360253738822+5.04695912027316i</v>
      </c>
      <c r="AQ338" s="98">
        <f t="shared" si="200"/>
        <v>16.975444220471115</v>
      </c>
      <c r="AR338" s="169">
        <f t="shared" si="201"/>
        <v>134.36333930234309</v>
      </c>
      <c r="AS338" s="168" t="str">
        <f t="shared" si="202"/>
        <v>0.477751598189459+0.777513105575238i</v>
      </c>
      <c r="AT338" s="190">
        <f t="shared" si="203"/>
        <v>-0.79473249713847971</v>
      </c>
      <c r="AU338" s="169">
        <f t="shared" si="204"/>
        <v>58.430890775612276</v>
      </c>
      <c r="AV338" s="225"/>
      <c r="AX338">
        <f t="shared" si="205"/>
        <v>0</v>
      </c>
      <c r="AY338">
        <f t="shared" si="206"/>
        <v>0</v>
      </c>
    </row>
    <row r="339" spans="14:51" x14ac:dyDescent="0.25">
      <c r="N339" s="170">
        <v>21</v>
      </c>
      <c r="O339" s="199">
        <f t="shared" si="208"/>
        <v>16218.100973589309</v>
      </c>
      <c r="P339" s="189" t="str">
        <f t="shared" ref="P339:P402" si="209">COMPLEX(Adc,0)</f>
        <v>87</v>
      </c>
      <c r="Q339" s="160" t="str">
        <f t="shared" ref="Q339:Q402" si="210">IMSUM(COMPLEX(1,0),IMDIV(COMPLEX(0,2*PI()*O339),COMPLEX(wp_lf,0)))</f>
        <v>1+764.260003107084i</v>
      </c>
      <c r="R339" s="160">
        <f t="shared" si="182"/>
        <v>764.2606573344201</v>
      </c>
      <c r="S339" s="160">
        <f t="shared" si="183"/>
        <v>1.5694878723091847</v>
      </c>
      <c r="T339" s="160" t="str">
        <f t="shared" ref="T339:T402" si="211">IMSUM(COMPLEX(1,0),IMDIV(COMPLEX(0,2*PI()*O339),COMPLEX(wz_esr,0)))</f>
        <v>1+0.509506668738055i</v>
      </c>
      <c r="U339" s="160">
        <f t="shared" si="184"/>
        <v>1.1223177114741396</v>
      </c>
      <c r="V339" s="160">
        <f t="shared" si="185"/>
        <v>0.47122398802120041</v>
      </c>
      <c r="W339" s="98" t="str">
        <f t="shared" ref="W339:W402" si="212">IMSUB(COMPLEX(1,0),IMDIV(COMPLEX(0,2*PI()*O339),COMPLEX(wz_rhp,0)))</f>
        <v>1-0.0721801114045579i</v>
      </c>
      <c r="X339" s="160">
        <f t="shared" si="186"/>
        <v>1.0026016000796998</v>
      </c>
      <c r="Y339" s="160">
        <f t="shared" si="187"/>
        <v>-7.2055149765150067E-2</v>
      </c>
      <c r="Z339" s="98" t="str">
        <f t="shared" ref="Z339:Z402" si="213">IF(Dc_Mode_Loop="CCM",IMSUM(COMPLEX(1,0),IMDIV(COMPLEX(0,2*PI()*O339),COMPLEX(Q*(wsl/2),0)),IMDIV(IMPOWER(COMPLEX(0,2*PI()*O339),2),IMPOWER(COMPLEX(wsl/2,0),2))),COMPLEX(1,0))</f>
        <v>0.998129587205763+0.151629184616445i</v>
      </c>
      <c r="AA339" s="160">
        <f t="shared" si="188"/>
        <v>1.0095811420995315</v>
      </c>
      <c r="AB339" s="160">
        <f t="shared" si="189"/>
        <v>0.15076064308565243</v>
      </c>
      <c r="AC339" s="171" t="str">
        <f t="shared" si="190"/>
        <v>0.0313548810484798-0.122940975892595i</v>
      </c>
      <c r="AD339" s="190">
        <f t="shared" si="191"/>
        <v>-17.932385413879913</v>
      </c>
      <c r="AE339" s="169">
        <f t="shared" si="192"/>
        <v>-75.692289900557952</v>
      </c>
      <c r="AF339" s="98" t="str">
        <f t="shared" ref="AF339:AF402" si="214">COMPLEX(Adc_ea,0)</f>
        <v>-0.0000673063927557778</v>
      </c>
      <c r="AG339" s="98" t="str">
        <f t="shared" ref="AG339:AG402" si="215">COMPLEX(0,2*PI()*O339*wp0_ea)</f>
        <v>0.00102594262817095i</v>
      </c>
      <c r="AH339" s="98">
        <f t="shared" si="193"/>
        <v>1.0259426281709499E-3</v>
      </c>
      <c r="AI339" s="98">
        <f t="shared" si="194"/>
        <v>1.5707963267948966</v>
      </c>
      <c r="AJ339" s="98" t="str">
        <f t="shared" ref="AJ339:AJ402" si="216">IMSUM(COMPLEX(1,0),IMDIV(COMPLEX(0,2*PI()*O339),COMPLEX(wp1_ea,0)))</f>
        <v>1+1.0323734646659i</v>
      </c>
      <c r="AK339" s="98">
        <f t="shared" si="195"/>
        <v>1.4372873653331384</v>
      </c>
      <c r="AL339" s="98">
        <f t="shared" si="196"/>
        <v>0.80132571195523083</v>
      </c>
      <c r="AM339" s="98" t="str">
        <f t="shared" ref="AM339:AM402" si="217">IMSUM(COMPLEX(1,0),IMDIV(COMPLEX(0,2*PI()*O339),COMPLEX(wz_ea,0)))</f>
        <v>1+152.852000621416i</v>
      </c>
      <c r="AN339" s="98">
        <f t="shared" si="197"/>
        <v>152.85527172449554</v>
      </c>
      <c r="AO339" s="98">
        <f t="shared" si="198"/>
        <v>1.5642541439698425</v>
      </c>
      <c r="AP339" s="168" t="str">
        <f t="shared" si="199"/>
        <v>-4.82140867543125+5.04309881995828i</v>
      </c>
      <c r="AQ339" s="98">
        <f t="shared" si="200"/>
        <v>16.873401074973074</v>
      </c>
      <c r="AR339" s="169">
        <f t="shared" si="201"/>
        <v>133.71257922497082</v>
      </c>
      <c r="AS339" s="168" t="str">
        <f t="shared" si="202"/>
        <v>0.46882879494421+0.750874451350062i</v>
      </c>
      <c r="AT339" s="190">
        <f t="shared" si="203"/>
        <v>-1.0589843389068434</v>
      </c>
      <c r="AU339" s="169">
        <f t="shared" si="204"/>
        <v>58.020289324412865</v>
      </c>
      <c r="AV339" s="225"/>
      <c r="AX339">
        <f t="shared" si="205"/>
        <v>0</v>
      </c>
      <c r="AY339">
        <f t="shared" si="206"/>
        <v>0</v>
      </c>
    </row>
    <row r="340" spans="14:51" x14ac:dyDescent="0.25">
      <c r="N340" s="170">
        <v>22</v>
      </c>
      <c r="O340" s="199">
        <f t="shared" si="208"/>
        <v>16595.869074375616</v>
      </c>
      <c r="P340" s="189" t="str">
        <f t="shared" si="209"/>
        <v>87</v>
      </c>
      <c r="Q340" s="160" t="str">
        <f t="shared" si="210"/>
        <v>1+782.061905459949i</v>
      </c>
      <c r="R340" s="160">
        <f t="shared" ref="R340:R403" si="218">IMABS(Q340)</f>
        <v>782.06254479526524</v>
      </c>
      <c r="S340" s="160">
        <f t="shared" ref="S340:S403" si="219">IMARGUMENT(Q340)</f>
        <v>1.5695176563366897</v>
      </c>
      <c r="T340" s="160" t="str">
        <f t="shared" si="211"/>
        <v>1+0.521374603639965i</v>
      </c>
      <c r="U340" s="160">
        <f t="shared" ref="U340:U403" si="220">IMABS(T340)</f>
        <v>1.1277550608712561</v>
      </c>
      <c r="V340" s="160">
        <f t="shared" ref="V340:V403" si="221">IMARGUMENT(T340)</f>
        <v>0.48060070738538507</v>
      </c>
      <c r="W340" s="98" t="str">
        <f t="shared" si="212"/>
        <v>1-0.0738614021823285i</v>
      </c>
      <c r="X340" s="160">
        <f t="shared" ref="X340:X403" si="222">IMABS(W340)</f>
        <v>1.0027240431605995</v>
      </c>
      <c r="Y340" s="160">
        <f t="shared" ref="Y340:Y403" si="223">IMARGUMENT(W340)</f>
        <v>-7.372752301146783E-2</v>
      </c>
      <c r="Z340" s="98" t="str">
        <f t="shared" si="213"/>
        <v>0.998041437366515+0.155161082043254i</v>
      </c>
      <c r="AA340" s="160">
        <f t="shared" ref="AA340:AA403" si="224">IMABS(Z340)</f>
        <v>1.0100305302719579</v>
      </c>
      <c r="AB340" s="160">
        <f t="shared" ref="AB340:AB403" si="225">IMARGUMENT(Z340)</f>
        <v>0.15423091623028051</v>
      </c>
      <c r="AC340" s="171" t="str">
        <f t="shared" ref="AC340:AC403" si="226">(IMDIV(IMPRODUCT(P340,T340,W340),IMPRODUCT(Q340,Z340)))</f>
        <v>0.0312867897612376-0.120555113415325i</v>
      </c>
      <c r="AD340" s="190">
        <f t="shared" ref="AD340:AD403" si="227">20*LOG(IMABS(AC340))</f>
        <v>-18.093210447834537</v>
      </c>
      <c r="AE340" s="169">
        <f t="shared" ref="AE340:AE403" si="228">(180/PI())*IMARGUMENT(AC340)</f>
        <v>-75.451401888113764</v>
      </c>
      <c r="AF340" s="98" t="str">
        <f t="shared" si="214"/>
        <v>-0.0000673063927557778</v>
      </c>
      <c r="AG340" s="98" t="str">
        <f t="shared" si="215"/>
        <v>0.00104983990188943i</v>
      </c>
      <c r="AH340" s="98">
        <f t="shared" ref="AH340:AH403" si="229">IMABS(AG340)</f>
        <v>1.04983990188943E-3</v>
      </c>
      <c r="AI340" s="98">
        <f t="shared" ref="AI340:AI403" si="230">IMARGUMENT(AG340)</f>
        <v>1.5707963267948966</v>
      </c>
      <c r="AJ340" s="98" t="str">
        <f t="shared" si="216"/>
        <v>1+1.05642053180923i</v>
      </c>
      <c r="AK340" s="98">
        <f t="shared" ref="AK340:AK403" si="231">IMABS(AJ340)</f>
        <v>1.4546560899498189</v>
      </c>
      <c r="AL340" s="98">
        <f t="shared" ref="AL340:AL403" si="232">IMARGUMENT(AJ340)</f>
        <v>0.81282756340802176</v>
      </c>
      <c r="AM340" s="98" t="str">
        <f t="shared" si="217"/>
        <v>1+156.412381091989i</v>
      </c>
      <c r="AN340" s="98">
        <f t="shared" ref="AN340:AN403" si="233">IMABS(AM340)</f>
        <v>156.41557773721132</v>
      </c>
      <c r="AO340" s="98">
        <f t="shared" ref="AO340:AO403" si="234">IMARGUMENT(AM340)</f>
        <v>1.5644030581268193</v>
      </c>
      <c r="AP340" s="168" t="str">
        <f t="shared" ref="AP340:AP403" si="235">IMPRODUCT(AF340,IMDIV(AM340,IMPRODUCT(AG340,AJ340)))</f>
        <v>-4.70695993625567+5.03664022079922i</v>
      </c>
      <c r="AQ340" s="98">
        <f t="shared" ref="AQ340:AQ403" si="236">20*LOG(IMABS(AP340))</f>
        <v>16.769058276999161</v>
      </c>
      <c r="AR340" s="169">
        <f t="shared" ref="AR340:AR403" si="237">(180/PI())*IMARGUMENT(AP340)</f>
        <v>133.062103832844</v>
      </c>
      <c r="AS340" s="168" t="str">
        <f t="shared" ref="AS340:AS403" si="238">IMPRODUCT(AC340,AP340)</f>
        <v>0.459927067110438+0.725028392647832i</v>
      </c>
      <c r="AT340" s="190">
        <f t="shared" ref="AT340:AT403" si="239">20*LOG(IMABS(AS340))</f>
        <v>-1.3241521708353765</v>
      </c>
      <c r="AU340" s="169">
        <f t="shared" ref="AU340:AU403" si="240">(180/PI())*IMARGUMENT(AS340)</f>
        <v>57.610701944730245</v>
      </c>
      <c r="AV340" s="225"/>
      <c r="AX340">
        <f t="shared" ref="AX340:AX403" si="241">SUM((AT341&lt;0)*(AT340&gt;0))*O340</f>
        <v>0</v>
      </c>
      <c r="AY340">
        <f t="shared" ref="AY340:AY403" si="242">IF(AX340&gt;0,AU340,0)</f>
        <v>0</v>
      </c>
    </row>
    <row r="341" spans="14:51" x14ac:dyDescent="0.25">
      <c r="N341" s="170">
        <v>23</v>
      </c>
      <c r="O341" s="199">
        <f t="shared" si="208"/>
        <v>16982.436524617482</v>
      </c>
      <c r="P341" s="189" t="str">
        <f t="shared" si="209"/>
        <v>87</v>
      </c>
      <c r="Q341" s="160" t="str">
        <f t="shared" si="210"/>
        <v>1+800.278467386904i</v>
      </c>
      <c r="R341" s="160">
        <f t="shared" si="218"/>
        <v>800.27909216918329</v>
      </c>
      <c r="S341" s="160">
        <f t="shared" si="219"/>
        <v>1.5695467623991497</v>
      </c>
      <c r="T341" s="160" t="str">
        <f t="shared" si="211"/>
        <v>1+0.533518978257935i</v>
      </c>
      <c r="U341" s="160">
        <f t="shared" si="220"/>
        <v>1.1334207074874674</v>
      </c>
      <c r="V341" s="160">
        <f t="shared" si="221"/>
        <v>0.49010184835811982</v>
      </c>
      <c r="W341" s="98" t="str">
        <f t="shared" si="212"/>
        <v>1-0.0755818552532076i</v>
      </c>
      <c r="X341" s="160">
        <f t="shared" si="222"/>
        <v>1.0028522407830163</v>
      </c>
      <c r="Y341" s="160">
        <f t="shared" si="223"/>
        <v>-7.5438423163589577E-2</v>
      </c>
      <c r="Z341" s="98" t="str">
        <f t="shared" si="213"/>
        <v>0.997949133153332+0.158775247929561i</v>
      </c>
      <c r="AA341" s="160">
        <f t="shared" si="224"/>
        <v>1.0105008914971725</v>
      </c>
      <c r="AB341" s="160">
        <f t="shared" si="225"/>
        <v>0.15777910997486985</v>
      </c>
      <c r="AC341" s="171" t="str">
        <f t="shared" si="226"/>
        <v>0.0312162233163725-0.118232365045084i</v>
      </c>
      <c r="AD341" s="190">
        <f t="shared" si="227"/>
        <v>-18.252616541187848</v>
      </c>
      <c r="AE341" s="169">
        <f t="shared" si="228"/>
        <v>-75.210018148699049</v>
      </c>
      <c r="AF341" s="98" t="str">
        <f t="shared" si="214"/>
        <v>-0.0000673063927557778</v>
      </c>
      <c r="AG341" s="98" t="str">
        <f t="shared" si="215"/>
        <v>0.00107429381462017i</v>
      </c>
      <c r="AH341" s="98">
        <f t="shared" si="229"/>
        <v>1.07429381462017E-3</v>
      </c>
      <c r="AI341" s="98">
        <f t="shared" si="230"/>
        <v>1.5707963267948966</v>
      </c>
      <c r="AJ341" s="98" t="str">
        <f t="shared" si="216"/>
        <v>1+1.08102772710189i</v>
      </c>
      <c r="AK341" s="98">
        <f t="shared" si="231"/>
        <v>1.472623830705954</v>
      </c>
      <c r="AL341" s="98">
        <f t="shared" si="232"/>
        <v>0.82431490442639299</v>
      </c>
      <c r="AM341" s="98" t="str">
        <f t="shared" si="217"/>
        <v>1+160.05569347738i</v>
      </c>
      <c r="AN341" s="98">
        <f t="shared" si="233"/>
        <v>160.05881735951013</v>
      </c>
      <c r="AO341" s="98">
        <f t="shared" si="234"/>
        <v>1.5645485828577359</v>
      </c>
      <c r="AP341" s="168" t="str">
        <f t="shared" si="235"/>
        <v>-4.59279977329402+5.0275956548503i</v>
      </c>
      <c r="AQ341" s="98">
        <f t="shared" si="236"/>
        <v>16.662420394092493</v>
      </c>
      <c r="AR341" s="169">
        <f t="shared" si="237"/>
        <v>132.41226562756009</v>
      </c>
      <c r="AS341" s="168" t="str">
        <f t="shared" si="238"/>
        <v>0.451054661392808+0.699960128081309i</v>
      </c>
      <c r="AT341" s="190">
        <f t="shared" si="239"/>
        <v>-1.5901961470953503</v>
      </c>
      <c r="AU341" s="169">
        <f t="shared" si="240"/>
        <v>57.202247478861061</v>
      </c>
      <c r="AV341" s="225"/>
      <c r="AX341">
        <f t="shared" si="241"/>
        <v>0</v>
      </c>
      <c r="AY341">
        <f t="shared" si="242"/>
        <v>0</v>
      </c>
    </row>
    <row r="342" spans="14:51" x14ac:dyDescent="0.25">
      <c r="N342" s="170">
        <v>24</v>
      </c>
      <c r="O342" s="199">
        <f t="shared" si="208"/>
        <v>17378.008287493791</v>
      </c>
      <c r="P342" s="189" t="str">
        <f t="shared" si="209"/>
        <v>87</v>
      </c>
      <c r="Q342" s="160" t="str">
        <f t="shared" si="210"/>
        <v>1+818.919347550197i</v>
      </c>
      <c r="R342" s="160">
        <f t="shared" si="218"/>
        <v>818.91995811070592</v>
      </c>
      <c r="S342" s="160">
        <f t="shared" si="219"/>
        <v>1.5695752059287869</v>
      </c>
      <c r="T342" s="160" t="str">
        <f t="shared" si="211"/>
        <v>1+0.54594623170013i</v>
      </c>
      <c r="U342" s="160">
        <f t="shared" si="220"/>
        <v>1.1393231709693137</v>
      </c>
      <c r="V342" s="160">
        <f t="shared" si="221"/>
        <v>0.49972558625480623</v>
      </c>
      <c r="W342" s="98" t="str">
        <f t="shared" si="212"/>
        <v>1-0.0773423828241852i</v>
      </c>
      <c r="X342" s="160">
        <f t="shared" si="222"/>
        <v>1.0029864626109979</v>
      </c>
      <c r="Y342" s="160">
        <f t="shared" si="223"/>
        <v>-7.718871727609837E-2</v>
      </c>
      <c r="Z342" s="98" t="str">
        <f t="shared" si="213"/>
        <v>0.997852478776603+0.162473598553959i</v>
      </c>
      <c r="AA342" s="160">
        <f t="shared" si="224"/>
        <v>1.0109931946495407</v>
      </c>
      <c r="AB342" s="160">
        <f t="shared" si="225"/>
        <v>0.16140683677507792</v>
      </c>
      <c r="AC342" s="171" t="str">
        <f t="shared" si="226"/>
        <v>0.0311430481573624-0.115971444091504i</v>
      </c>
      <c r="AD342" s="190">
        <f t="shared" si="227"/>
        <v>-18.410568677190643</v>
      </c>
      <c r="AE342" s="169">
        <f t="shared" si="228"/>
        <v>-74.96838617871326</v>
      </c>
      <c r="AF342" s="98" t="str">
        <f t="shared" si="214"/>
        <v>-0.0000673063927557778</v>
      </c>
      <c r="AG342" s="98" t="str">
        <f t="shared" si="215"/>
        <v>0.00109931733215138i</v>
      </c>
      <c r="AH342" s="98">
        <f t="shared" si="229"/>
        <v>1.09931733215138E-3</v>
      </c>
      <c r="AI342" s="98">
        <f t="shared" si="230"/>
        <v>1.5707963267948966</v>
      </c>
      <c r="AJ342" s="98" t="str">
        <f t="shared" si="216"/>
        <v>1+1.10620809760455i</v>
      </c>
      <c r="AK342" s="98">
        <f t="shared" si="231"/>
        <v>1.4912063422631618</v>
      </c>
      <c r="AL342" s="98">
        <f t="shared" si="232"/>
        <v>0.83578169992170082</v>
      </c>
      <c r="AM342" s="98" t="str">
        <f t="shared" si="217"/>
        <v>1+163.783869510039i</v>
      </c>
      <c r="AN342" s="98">
        <f t="shared" si="233"/>
        <v>163.78692228527129</v>
      </c>
      <c r="AO342" s="98">
        <f t="shared" si="234"/>
        <v>1.5646907952970617</v>
      </c>
      <c r="AP342" s="168" t="str">
        <f t="shared" si="235"/>
        <v>-4.47904758639223+5.01598433646205i</v>
      </c>
      <c r="AQ342" s="98">
        <f t="shared" si="236"/>
        <v>16.55349440523139</v>
      </c>
      <c r="AR342" s="169">
        <f t="shared" si="237"/>
        <v>131.76341481370696</v>
      </c>
      <c r="AS342" s="168" t="str">
        <f t="shared" si="238"/>
        <v>0.442219752357737+0.675654658495486i</v>
      </c>
      <c r="AT342" s="190">
        <f t="shared" si="239"/>
        <v>-1.8570742719592526</v>
      </c>
      <c r="AU342" s="169">
        <f t="shared" si="240"/>
        <v>56.795028634993756</v>
      </c>
      <c r="AV342" s="225"/>
      <c r="AX342">
        <f t="shared" si="241"/>
        <v>0</v>
      </c>
      <c r="AY342">
        <f t="shared" si="242"/>
        <v>0</v>
      </c>
    </row>
    <row r="343" spans="14:51" x14ac:dyDescent="0.25">
      <c r="N343" s="170">
        <v>25</v>
      </c>
      <c r="O343" s="199">
        <f t="shared" si="208"/>
        <v>17782.794100389234</v>
      </c>
      <c r="P343" s="189" t="str">
        <f t="shared" si="209"/>
        <v>87</v>
      </c>
      <c r="Q343" s="160" t="str">
        <f t="shared" si="210"/>
        <v>1+837.99442959124i</v>
      </c>
      <c r="R343" s="160">
        <f t="shared" si="218"/>
        <v>837.99502625370496</v>
      </c>
      <c r="S343" s="160">
        <f t="shared" si="219"/>
        <v>1.5696030020065528</v>
      </c>
      <c r="T343" s="160" t="str">
        <f t="shared" si="211"/>
        <v>1+0.558662953060825i</v>
      </c>
      <c r="U343" s="160">
        <f t="shared" si="220"/>
        <v>1.1454712109532224</v>
      </c>
      <c r="V343" s="160">
        <f t="shared" si="221"/>
        <v>0.50946989239314822</v>
      </c>
      <c r="W343" s="98" t="str">
        <f t="shared" si="212"/>
        <v>1-0.0791439183502837i</v>
      </c>
      <c r="X343" s="160">
        <f t="shared" si="222"/>
        <v>1.0031269908699678</v>
      </c>
      <c r="Y343" s="160">
        <f t="shared" si="223"/>
        <v>-7.8979290457494022E-2</v>
      </c>
      <c r="Z343" s="98" t="str">
        <f t="shared" si="213"/>
        <v>0.997751269219436+0.166258094830902i</v>
      </c>
      <c r="AA343" s="160">
        <f t="shared" si="224"/>
        <v>1.0115084524242972</v>
      </c>
      <c r="AB343" s="160">
        <f t="shared" si="225"/>
        <v>0.16511573284246212</v>
      </c>
      <c r="AC343" s="171" t="str">
        <f t="shared" si="226"/>
        <v>0.0310671266832192-0.113771092976372i</v>
      </c>
      <c r="AD343" s="190">
        <f t="shared" si="227"/>
        <v>-18.567032199355459</v>
      </c>
      <c r="AE343" s="169">
        <f t="shared" si="228"/>
        <v>-74.726767538162918</v>
      </c>
      <c r="AF343" s="98" t="str">
        <f t="shared" si="214"/>
        <v>-0.0000673063927557778</v>
      </c>
      <c r="AG343" s="98" t="str">
        <f t="shared" si="215"/>
        <v>0.00112492372228328i</v>
      </c>
      <c r="AH343" s="98">
        <f t="shared" si="229"/>
        <v>1.12492372228328E-3</v>
      </c>
      <c r="AI343" s="98">
        <f t="shared" si="230"/>
        <v>1.5707963267948966</v>
      </c>
      <c r="AJ343" s="98" t="str">
        <f t="shared" si="216"/>
        <v>1+1.13197499428296i</v>
      </c>
      <c r="AK343" s="98">
        <f t="shared" si="231"/>
        <v>1.5104196064941382</v>
      </c>
      <c r="AL343" s="98">
        <f t="shared" si="232"/>
        <v>0.84722196882951417</v>
      </c>
      <c r="AM343" s="98" t="str">
        <f t="shared" si="217"/>
        <v>1+167.598885918247i</v>
      </c>
      <c r="AN343" s="98">
        <f t="shared" si="233"/>
        <v>167.60186920508244</v>
      </c>
      <c r="AO343" s="98">
        <f t="shared" si="234"/>
        <v>1.5648297708246923</v>
      </c>
      <c r="AP343" s="168" t="str">
        <f t="shared" si="235"/>
        <v>-4.36582106259283+5.00183223379221i</v>
      </c>
      <c r="AQ343" s="98">
        <f t="shared" si="236"/>
        <v>16.442289671355343</v>
      </c>
      <c r="AR343" s="169">
        <f t="shared" si="237"/>
        <v>131.11589839998339</v>
      </c>
      <c r="AS343" s="168" t="str">
        <f t="shared" si="238"/>
        <v>0.43343040409515+0.652096789685884i</v>
      </c>
      <c r="AT343" s="190">
        <f t="shared" si="239"/>
        <v>-2.1247425280001151</v>
      </c>
      <c r="AU343" s="169">
        <f t="shared" si="240"/>
        <v>56.389130861820497</v>
      </c>
      <c r="AV343" s="225"/>
      <c r="AX343">
        <f t="shared" si="241"/>
        <v>0</v>
      </c>
      <c r="AY343">
        <f t="shared" si="242"/>
        <v>0</v>
      </c>
    </row>
    <row r="344" spans="14:51" x14ac:dyDescent="0.25">
      <c r="N344" s="170">
        <v>26</v>
      </c>
      <c r="O344" s="199">
        <f t="shared" si="208"/>
        <v>18197.008586099837</v>
      </c>
      <c r="P344" s="189" t="str">
        <f t="shared" si="209"/>
        <v>87</v>
      </c>
      <c r="Q344" s="160" t="str">
        <f t="shared" si="210"/>
        <v>1+857.513827371025i</v>
      </c>
      <c r="R344" s="160">
        <f t="shared" si="218"/>
        <v>857.51441045180343</v>
      </c>
      <c r="S344" s="160">
        <f t="shared" si="219"/>
        <v>1.5696301653701241</v>
      </c>
      <c r="T344" s="160" t="str">
        <f t="shared" si="211"/>
        <v>1+0.571675884914015i</v>
      </c>
      <c r="U344" s="160">
        <f t="shared" si="220"/>
        <v>1.1518738287643409</v>
      </c>
      <c r="V344" s="160">
        <f t="shared" si="221"/>
        <v>0.51933253070427454</v>
      </c>
      <c r="W344" s="98" t="str">
        <f t="shared" si="212"/>
        <v>1-0.0809874170294856i</v>
      </c>
      <c r="X344" s="160">
        <f t="shared" si="222"/>
        <v>1.0032741209246394</v>
      </c>
      <c r="Y344" s="160">
        <f t="shared" si="223"/>
        <v>-8.0811046140927767E-2</v>
      </c>
      <c r="Z344" s="98" t="str">
        <f t="shared" si="213"/>
        <v>0.99764528980279+0.170130743350411i</v>
      </c>
      <c r="AA344" s="160">
        <f t="shared" si="224"/>
        <v>1.0120477232317933</v>
      </c>
      <c r="AB344" s="160">
        <f t="shared" si="225"/>
        <v>0.16890745779088906</v>
      </c>
      <c r="AC344" s="171" t="str">
        <f t="shared" si="226"/>
        <v>0.0309883170907664-0.111630082337462i</v>
      </c>
      <c r="AD344" s="190">
        <f t="shared" si="227"/>
        <v>-18.72197291467155</v>
      </c>
      <c r="AE344" s="169">
        <f t="shared" si="228"/>
        <v>-74.485438040540529</v>
      </c>
      <c r="AF344" s="98" t="str">
        <f t="shared" si="214"/>
        <v>-0.0000673063927557778</v>
      </c>
      <c r="AG344" s="98" t="str">
        <f t="shared" si="215"/>
        <v>0.00115112656186286i</v>
      </c>
      <c r="AH344" s="98">
        <f t="shared" si="229"/>
        <v>1.15112656186286E-3</v>
      </c>
      <c r="AI344" s="98">
        <f t="shared" si="230"/>
        <v>1.5707963267948966</v>
      </c>
      <c r="AJ344" s="98" t="str">
        <f t="shared" si="216"/>
        <v>1+1.1583420790868i</v>
      </c>
      <c r="AK344" s="98">
        <f t="shared" si="231"/>
        <v>1.5302798345999109</v>
      </c>
      <c r="AL344" s="98">
        <f t="shared" si="232"/>
        <v>0.85862979949372964</v>
      </c>
      <c r="AM344" s="98" t="str">
        <f t="shared" si="217"/>
        <v>1+171.502765474204i</v>
      </c>
      <c r="AN344" s="98">
        <f t="shared" si="233"/>
        <v>171.50568085430822</v>
      </c>
      <c r="AO344" s="98">
        <f t="shared" si="234"/>
        <v>1.5649655831058058</v>
      </c>
      <c r="AP344" s="168" t="str">
        <f t="shared" si="235"/>
        <v>-4.25323569563671+4.98517189823565i</v>
      </c>
      <c r="AQ344" s="98">
        <f t="shared" si="236"/>
        <v>16.328817896083855</v>
      </c>
      <c r="AR344" s="169">
        <f t="shared" si="237"/>
        <v>130.47005932003765</v>
      </c>
      <c r="AS344" s="168" t="str">
        <f t="shared" si="238"/>
        <v>0.424694533068291+0.629271138439063i</v>
      </c>
      <c r="AT344" s="190">
        <f t="shared" si="239"/>
        <v>-2.393155018587688</v>
      </c>
      <c r="AU344" s="169">
        <f t="shared" si="240"/>
        <v>55.984621279497105</v>
      </c>
      <c r="AV344" s="225"/>
      <c r="AX344">
        <f t="shared" si="241"/>
        <v>0</v>
      </c>
      <c r="AY344">
        <f t="shared" si="242"/>
        <v>0</v>
      </c>
    </row>
    <row r="345" spans="14:51" x14ac:dyDescent="0.25">
      <c r="N345" s="170">
        <v>27</v>
      </c>
      <c r="O345" s="199">
        <f t="shared" si="208"/>
        <v>18620.871366628675</v>
      </c>
      <c r="P345" s="189" t="str">
        <f t="shared" si="209"/>
        <v>87</v>
      </c>
      <c r="Q345" s="160" t="str">
        <f t="shared" si="210"/>
        <v>1+877.487890332617i</v>
      </c>
      <c r="R345" s="160">
        <f t="shared" si="218"/>
        <v>877.4884601408653</v>
      </c>
      <c r="S345" s="160">
        <f t="shared" si="219"/>
        <v>1.5696567104217152</v>
      </c>
      <c r="T345" s="160" t="str">
        <f t="shared" si="211"/>
        <v>1+0.58499192688841i</v>
      </c>
      <c r="U345" s="160">
        <f t="shared" si="220"/>
        <v>1.1585402688403259</v>
      </c>
      <c r="V345" s="160">
        <f t="shared" si="221"/>
        <v>0.52931105497488407</v>
      </c>
      <c r="W345" s="98" t="str">
        <f t="shared" si="212"/>
        <v>1-0.0828738563091916i</v>
      </c>
      <c r="X345" s="160">
        <f t="shared" si="222"/>
        <v>1.0034281618828309</v>
      </c>
      <c r="Y345" s="160">
        <f t="shared" si="223"/>
        <v>-8.2684906350944318E-2</v>
      </c>
      <c r="Z345" s="98" t="str">
        <f t="shared" si="213"/>
        <v>0.997534315730115+0.174093597441991i</v>
      </c>
      <c r="AA345" s="160">
        <f t="shared" si="224"/>
        <v>1.0126121131654719</v>
      </c>
      <c r="AB345" s="160">
        <f t="shared" si="225"/>
        <v>0.17278369421910303</v>
      </c>
      <c r="AC345" s="171" t="str">
        <f t="shared" si="226"/>
        <v>0.0309064732196089-0.109547210134575i</v>
      </c>
      <c r="AD345" s="190">
        <f t="shared" si="227"/>
        <v>-18.875357201024741</v>
      </c>
      <c r="AE345" s="169">
        <f t="shared" si="228"/>
        <v>-74.244687902651819</v>
      </c>
      <c r="AF345" s="98" t="str">
        <f t="shared" si="214"/>
        <v>-0.0000673063927557778</v>
      </c>
      <c r="AG345" s="98" t="str">
        <f t="shared" si="215"/>
        <v>0.00117793974398251i</v>
      </c>
      <c r="AH345" s="98">
        <f t="shared" si="229"/>
        <v>1.17793974398251E-3</v>
      </c>
      <c r="AI345" s="98">
        <f t="shared" si="230"/>
        <v>1.5707963267948966</v>
      </c>
      <c r="AJ345" s="98" t="str">
        <f t="shared" si="216"/>
        <v>1+1.18532333219344i</v>
      </c>
      <c r="AK345" s="98">
        <f t="shared" si="231"/>
        <v>1.5508034697672559</v>
      </c>
      <c r="AL345" s="98">
        <f t="shared" si="232"/>
        <v>0.86999936461052907</v>
      </c>
      <c r="AM345" s="98" t="str">
        <f t="shared" si="217"/>
        <v>1+175.497578066523i</v>
      </c>
      <c r="AN345" s="98">
        <f t="shared" si="233"/>
        <v>175.50042708556393</v>
      </c>
      <c r="AO345" s="98">
        <f t="shared" si="234"/>
        <v>1.5650983041298197</v>
      </c>
      <c r="AP345" s="168" t="str">
        <f t="shared" si="235"/>
        <v>-4.14140432478256+4.96604225377794i</v>
      </c>
      <c r="AQ345" s="98">
        <f t="shared" si="236"/>
        <v>16.213093076975632</v>
      </c>
      <c r="AR345" s="169">
        <f t="shared" si="237"/>
        <v>129.82623557847458</v>
      </c>
      <c r="AS345" s="168" t="str">
        <f t="shared" si="238"/>
        <v>0.416019872456326+0.607162141743027i</v>
      </c>
      <c r="AT345" s="190">
        <f t="shared" si="239"/>
        <v>-2.6622641240491052</v>
      </c>
      <c r="AU345" s="169">
        <f t="shared" si="240"/>
        <v>55.581547675822755</v>
      </c>
      <c r="AV345" s="225"/>
      <c r="AX345">
        <f t="shared" si="241"/>
        <v>0</v>
      </c>
      <c r="AY345">
        <f t="shared" si="242"/>
        <v>0</v>
      </c>
    </row>
    <row r="346" spans="14:51" x14ac:dyDescent="0.25">
      <c r="N346" s="170">
        <v>28</v>
      </c>
      <c r="O346" s="199">
        <f t="shared" si="208"/>
        <v>19054.607179632505</v>
      </c>
      <c r="P346" s="189" t="str">
        <f t="shared" si="209"/>
        <v>87</v>
      </c>
      <c r="Q346" s="160" t="str">
        <f t="shared" si="210"/>
        <v>1+897.927208988597i</v>
      </c>
      <c r="R346" s="160">
        <f t="shared" si="218"/>
        <v>897.92776582643421</v>
      </c>
      <c r="S346" s="160">
        <f t="shared" si="219"/>
        <v>1.569682651235714</v>
      </c>
      <c r="T346" s="160" t="str">
        <f t="shared" si="211"/>
        <v>1+0.59861813932573i</v>
      </c>
      <c r="U346" s="160">
        <f t="shared" si="220"/>
        <v>1.1654800198758446</v>
      </c>
      <c r="V346" s="160">
        <f t="shared" si="221"/>
        <v>0.53940280677396724</v>
      </c>
      <c r="W346" s="98" t="str">
        <f t="shared" si="212"/>
        <v>1-0.0848042364044786i</v>
      </c>
      <c r="X346" s="160">
        <f t="shared" si="222"/>
        <v>1.0035894372262726</v>
      </c>
      <c r="Y346" s="160">
        <f t="shared" si="223"/>
        <v>-8.4601811965451829E-2</v>
      </c>
      <c r="Z346" s="98" t="str">
        <f t="shared" si="213"/>
        <v>0.997418111610524+0.178148758263337i</v>
      </c>
      <c r="AA346" s="160">
        <f t="shared" si="224"/>
        <v>1.0132027780456747</v>
      </c>
      <c r="AB346" s="160">
        <f t="shared" si="225"/>
        <v>0.17674614722504822</v>
      </c>
      <c r="AC346" s="171" t="str">
        <f t="shared" si="226"/>
        <v>0.0308214444004028-0.107521300756812i</v>
      </c>
      <c r="AD346" s="190">
        <f t="shared" si="227"/>
        <v>-19.027152118482014</v>
      </c>
      <c r="AE346" s="169">
        <f t="shared" si="228"/>
        <v>-74.004821851025923</v>
      </c>
      <c r="AF346" s="98" t="str">
        <f t="shared" si="214"/>
        <v>-0.0000673063927557778</v>
      </c>
      <c r="AG346" s="98" t="str">
        <f t="shared" si="215"/>
        <v>0.00120537748534629i</v>
      </c>
      <c r="AH346" s="98">
        <f t="shared" si="229"/>
        <v>1.2053774853462899E-3</v>
      </c>
      <c r="AI346" s="98">
        <f t="shared" si="230"/>
        <v>1.5707963267948966</v>
      </c>
      <c r="AJ346" s="98" t="str">
        <f t="shared" si="216"/>
        <v>1+1.21293305942043i</v>
      </c>
      <c r="AK346" s="98">
        <f t="shared" si="231"/>
        <v>1.5720071903890911</v>
      </c>
      <c r="AL346" s="98">
        <f t="shared" si="232"/>
        <v>0.8813249356422509</v>
      </c>
      <c r="AM346" s="98" t="str">
        <f t="shared" si="217"/>
        <v>1+179.585441797719i</v>
      </c>
      <c r="AN346" s="98">
        <f t="shared" si="233"/>
        <v>179.58822596618612</v>
      </c>
      <c r="AO346" s="98">
        <f t="shared" si="234"/>
        <v>1.5652280042484639</v>
      </c>
      <c r="AP346" s="168" t="str">
        <f t="shared" si="235"/>
        <v>-4.03043669675862+4.9444883487232i</v>
      </c>
      <c r="AQ346" s="98">
        <f t="shared" si="236"/>
        <v>16.095131447755058</v>
      </c>
      <c r="AR346" s="169">
        <f t="shared" si="237"/>
        <v>129.18475942718194</v>
      </c>
      <c r="AS346" s="168" t="str">
        <f t="shared" si="238"/>
        <v>0.407413938273131+0.585754068982087i</v>
      </c>
      <c r="AT346" s="190">
        <f t="shared" si="239"/>
        <v>-2.9320206707269576</v>
      </c>
      <c r="AU346" s="169">
        <f t="shared" si="240"/>
        <v>55.179937576156028</v>
      </c>
      <c r="AV346" s="225"/>
      <c r="AX346">
        <f t="shared" si="241"/>
        <v>0</v>
      </c>
      <c r="AY346">
        <f t="shared" si="242"/>
        <v>0</v>
      </c>
    </row>
    <row r="347" spans="14:51" x14ac:dyDescent="0.25">
      <c r="N347" s="170">
        <v>29</v>
      </c>
      <c r="O347" s="199">
        <f t="shared" si="208"/>
        <v>19498.445997580486</v>
      </c>
      <c r="P347" s="189" t="str">
        <f t="shared" si="209"/>
        <v>87</v>
      </c>
      <c r="Q347" s="160" t="str">
        <f t="shared" si="210"/>
        <v>1+918.842620536242i</v>
      </c>
      <c r="R347" s="160">
        <f t="shared" si="218"/>
        <v>918.84316469891007</v>
      </c>
      <c r="S347" s="160">
        <f t="shared" si="219"/>
        <v>1.569708001566144</v>
      </c>
      <c r="T347" s="160" t="str">
        <f t="shared" si="211"/>
        <v>1+0.61256174702416i</v>
      </c>
      <c r="U347" s="160">
        <f t="shared" si="220"/>
        <v>1.172702815685752</v>
      </c>
      <c r="V347" s="160">
        <f t="shared" si="221"/>
        <v>0.5496049141156587</v>
      </c>
      <c r="W347" s="98" t="str">
        <f t="shared" si="212"/>
        <v>1-0.0867795808284229i</v>
      </c>
      <c r="X347" s="160">
        <f t="shared" si="222"/>
        <v>1.003758285469543</v>
      </c>
      <c r="Y347" s="160">
        <f t="shared" si="223"/>
        <v>-8.6562722972068129E-2</v>
      </c>
      <c r="Z347" s="98" t="str">
        <f t="shared" si="213"/>
        <v>0.997296430959498+0.18229837591439i</v>
      </c>
      <c r="AA347" s="160">
        <f t="shared" si="224"/>
        <v>1.0138209255413784</v>
      </c>
      <c r="AB347" s="160">
        <f t="shared" si="225"/>
        <v>0.18079654384730695</v>
      </c>
      <c r="AC347" s="171" t="str">
        <f t="shared" si="226"/>
        <v>0.0307330753071029-0.105551204130108i</v>
      </c>
      <c r="AD347" s="190">
        <f t="shared" si="227"/>
        <v>-19.177325524045962</v>
      </c>
      <c r="AE347" s="169">
        <f t="shared" si="228"/>
        <v>-73.766159181639821</v>
      </c>
      <c r="AF347" s="98" t="str">
        <f t="shared" si="214"/>
        <v>-0.0000673063927557778</v>
      </c>
      <c r="AG347" s="98" t="str">
        <f t="shared" si="215"/>
        <v>0.00123345433380785i</v>
      </c>
      <c r="AH347" s="98">
        <f t="shared" si="229"/>
        <v>1.23345433380785E-3</v>
      </c>
      <c r="AI347" s="98">
        <f t="shared" si="230"/>
        <v>1.5707963267948966</v>
      </c>
      <c r="AJ347" s="98" t="str">
        <f t="shared" si="216"/>
        <v>1+1.24118589981057i</v>
      </c>
      <c r="AK347" s="98">
        <f t="shared" si="231"/>
        <v>1.5939079138672265</v>
      </c>
      <c r="AL347" s="98">
        <f t="shared" si="232"/>
        <v>0.89260089661736131</v>
      </c>
      <c r="AM347" s="98" t="str">
        <f t="shared" si="217"/>
        <v>1+183.768524107248i</v>
      </c>
      <c r="AN347" s="98">
        <f t="shared" si="233"/>
        <v>183.77124490125269</v>
      </c>
      <c r="AO347" s="98">
        <f t="shared" si="234"/>
        <v>1.5653547522129934</v>
      </c>
      <c r="AP347" s="168" t="str">
        <f t="shared" si="235"/>
        <v>-3.92043905431937+4.92056107264582i</v>
      </c>
      <c r="AQ347" s="98">
        <f t="shared" si="236"/>
        <v>15.974951412005268</v>
      </c>
      <c r="AR347" s="169">
        <f t="shared" si="237"/>
        <v>128.54595657678345</v>
      </c>
      <c r="AS347" s="168" t="str">
        <f t="shared" si="238"/>
        <v>0.398883997520198+0.565031036900934i</v>
      </c>
      <c r="AT347" s="190">
        <f t="shared" si="239"/>
        <v>-3.2023741120406961</v>
      </c>
      <c r="AU347" s="169">
        <f t="shared" si="240"/>
        <v>54.779797395143611</v>
      </c>
      <c r="AV347" s="225"/>
      <c r="AX347">
        <f t="shared" si="241"/>
        <v>0</v>
      </c>
      <c r="AY347">
        <f t="shared" si="242"/>
        <v>0</v>
      </c>
    </row>
    <row r="348" spans="14:51" x14ac:dyDescent="0.25">
      <c r="N348" s="170">
        <v>30</v>
      </c>
      <c r="O348" s="199">
        <f t="shared" si="208"/>
        <v>19952.623149688792</v>
      </c>
      <c r="P348" s="189" t="str">
        <f t="shared" si="209"/>
        <v>87</v>
      </c>
      <c r="Q348" s="160" t="str">
        <f t="shared" si="210"/>
        <v>1+940.245214603622i</v>
      </c>
      <c r="R348" s="160">
        <f t="shared" si="218"/>
        <v>940.2457463796427</v>
      </c>
      <c r="S348" s="160">
        <f t="shared" si="219"/>
        <v>1.5697327748539553</v>
      </c>
      <c r="T348" s="160" t="str">
        <f t="shared" si="211"/>
        <v>1+0.62683014306908i</v>
      </c>
      <c r="U348" s="160">
        <f t="shared" si="220"/>
        <v>1.1802186357874558</v>
      </c>
      <c r="V348" s="160">
        <f t="shared" si="221"/>
        <v>0.55991429090730227</v>
      </c>
      <c r="W348" s="98" t="str">
        <f t="shared" si="212"/>
        <v>1-0.0888009369347865i</v>
      </c>
      <c r="X348" s="160">
        <f t="shared" si="222"/>
        <v>1.003935060848308</v>
      </c>
      <c r="Y348" s="160">
        <f t="shared" si="223"/>
        <v>-8.8568618717952463E-2</v>
      </c>
      <c r="Z348" s="98" t="str">
        <f t="shared" si="213"/>
        <v>0.997169015676064+0.186544650577358i</v>
      </c>
      <c r="AA348" s="160">
        <f t="shared" si="224"/>
        <v>1.0144678173719452</v>
      </c>
      <c r="AB348" s="160">
        <f t="shared" si="225"/>
        <v>0.18493663242885752</v>
      </c>
      <c r="AC348" s="171" t="str">
        <f t="shared" si="226"/>
        <v>0.0306412058139458-0.103635794824051i</v>
      </c>
      <c r="AD348" s="190">
        <f t="shared" si="227"/>
        <v>-19.325846189429758</v>
      </c>
      <c r="AE348" s="169">
        <f t="shared" si="228"/>
        <v>-73.529033769820401</v>
      </c>
      <c r="AF348" s="98" t="str">
        <f t="shared" si="214"/>
        <v>-0.0000673063927557778</v>
      </c>
      <c r="AG348" s="98" t="str">
        <f t="shared" si="215"/>
        <v>0.0012621851760839i</v>
      </c>
      <c r="AH348" s="98">
        <f t="shared" si="229"/>
        <v>1.2621851760838999E-3</v>
      </c>
      <c r="AI348" s="98">
        <f t="shared" si="230"/>
        <v>1.5707963267948966</v>
      </c>
      <c r="AJ348" s="98" t="str">
        <f t="shared" si="216"/>
        <v>1+1.27009683339384i</v>
      </c>
      <c r="AK348" s="98">
        <f t="shared" si="231"/>
        <v>1.6165228010136634</v>
      </c>
      <c r="AL348" s="98">
        <f t="shared" si="232"/>
        <v>0.90382175723984826</v>
      </c>
      <c r="AM348" s="98" t="str">
        <f t="shared" si="217"/>
        <v>1+188.049042920724i</v>
      </c>
      <c r="AN348" s="98">
        <f t="shared" si="233"/>
        <v>188.05170178278181</v>
      </c>
      <c r="AO348" s="98">
        <f t="shared" si="234"/>
        <v>1.5654786152105575</v>
      </c>
      <c r="AP348" s="168" t="str">
        <f t="shared" si="235"/>
        <v>-3.8115137544915+4.8943168417656i</v>
      </c>
      <c r="AQ348" s="98">
        <f t="shared" si="236"/>
        <v>15.852573468894001</v>
      </c>
      <c r="AR348" s="169">
        <f t="shared" si="237"/>
        <v>127.91014544760854</v>
      </c>
      <c r="AS348" s="168" t="str">
        <f t="shared" si="238"/>
        <v>0.390437038603058+0.54497702709673i</v>
      </c>
      <c r="AT348" s="190">
        <f t="shared" si="239"/>
        <v>-3.4732727205357561</v>
      </c>
      <c r="AU348" s="169">
        <f t="shared" si="240"/>
        <v>54.381111677788113</v>
      </c>
      <c r="AV348" s="225"/>
      <c r="AX348">
        <f t="shared" si="241"/>
        <v>0</v>
      </c>
      <c r="AY348">
        <f t="shared" si="242"/>
        <v>0</v>
      </c>
    </row>
    <row r="349" spans="14:51" x14ac:dyDescent="0.25">
      <c r="N349" s="170">
        <v>31</v>
      </c>
      <c r="O349" s="199">
        <f t="shared" si="208"/>
        <v>20417.379446695286</v>
      </c>
      <c r="P349" s="189" t="str">
        <f t="shared" si="209"/>
        <v>87</v>
      </c>
      <c r="Q349" s="160" t="str">
        <f t="shared" si="210"/>
        <v>1+962.146339129397i</v>
      </c>
      <c r="R349" s="160">
        <f t="shared" si="218"/>
        <v>962.1468588007242</v>
      </c>
      <c r="S349" s="160">
        <f t="shared" si="219"/>
        <v>1.5697569842341514</v>
      </c>
      <c r="T349" s="160" t="str">
        <f t="shared" si="211"/>
        <v>1+0.64143089275293i</v>
      </c>
      <c r="U349" s="160">
        <f t="shared" si="220"/>
        <v>1.1880377057054294</v>
      </c>
      <c r="V349" s="160">
        <f t="shared" si="221"/>
        <v>0.57032763722819724</v>
      </c>
      <c r="W349" s="98" t="str">
        <f t="shared" si="212"/>
        <v>1-0.0908693764733319i</v>
      </c>
      <c r="X349" s="160">
        <f t="shared" si="222"/>
        <v>1.0041201340380801</v>
      </c>
      <c r="Y349" s="160">
        <f t="shared" si="223"/>
        <v>-9.0620498152123752E-2</v>
      </c>
      <c r="Z349" s="98" t="str">
        <f t="shared" si="213"/>
        <v>0.997035595495322+0.190889833683272i</v>
      </c>
      <c r="AA349" s="160">
        <f t="shared" si="224"/>
        <v>1.015144771590899</v>
      </c>
      <c r="AB349" s="160">
        <f t="shared" si="225"/>
        <v>0.18916818189810097</v>
      </c>
      <c r="AC349" s="171" t="str">
        <f t="shared" si="226"/>
        <v>0.0305456708580061-0.10177397115705i</v>
      </c>
      <c r="AD349" s="190">
        <f t="shared" si="227"/>
        <v>-19.472683921347095</v>
      </c>
      <c r="AE349" s="169">
        <f t="shared" si="228"/>
        <v>-73.293794027371064</v>
      </c>
      <c r="AF349" s="98" t="str">
        <f t="shared" si="214"/>
        <v>-0.0000673063927557778</v>
      </c>
      <c r="AG349" s="98" t="str">
        <f t="shared" si="215"/>
        <v>0.0012915852456473i</v>
      </c>
      <c r="AH349" s="98">
        <f t="shared" si="229"/>
        <v>1.2915852456473001E-3</v>
      </c>
      <c r="AI349" s="98">
        <f t="shared" si="230"/>
        <v>1.5707963267948966</v>
      </c>
      <c r="AJ349" s="98" t="str">
        <f t="shared" si="216"/>
        <v>1+1.29968118912989i</v>
      </c>
      <c r="AK349" s="98">
        <f t="shared" si="231"/>
        <v>1.6398692610626269</v>
      </c>
      <c r="AL349" s="98">
        <f t="shared" si="232"/>
        <v>0.91498216523883713</v>
      </c>
      <c r="AM349" s="98" t="str">
        <f t="shared" si="217"/>
        <v>1+192.429267825879i</v>
      </c>
      <c r="AN349" s="98">
        <f t="shared" si="233"/>
        <v>192.43186616567402</v>
      </c>
      <c r="AO349" s="98">
        <f t="shared" si="234"/>
        <v>1.5655996588997461</v>
      </c>
      <c r="AP349" s="168" t="str">
        <f t="shared" si="235"/>
        <v>-3.70375891917186+4.86581725623503i</v>
      </c>
      <c r="AQ349" s="98">
        <f t="shared" si="236"/>
        <v>15.728020131556207</v>
      </c>
      <c r="AR349" s="169">
        <f t="shared" si="237"/>
        <v>127.27763646414978</v>
      </c>
      <c r="AS349" s="168" t="str">
        <f t="shared" si="238"/>
        <v>0.382079744209112+0.525575905776625i</v>
      </c>
      <c r="AT349" s="190">
        <f t="shared" si="239"/>
        <v>-3.7446637897908892</v>
      </c>
      <c r="AU349" s="169">
        <f t="shared" si="240"/>
        <v>53.983842436778723</v>
      </c>
      <c r="AV349" s="225"/>
      <c r="AX349">
        <f t="shared" si="241"/>
        <v>0</v>
      </c>
      <c r="AY349">
        <f t="shared" si="242"/>
        <v>0</v>
      </c>
    </row>
    <row r="350" spans="14:51" x14ac:dyDescent="0.25">
      <c r="N350" s="170">
        <v>32</v>
      </c>
      <c r="O350" s="199">
        <f t="shared" si="208"/>
        <v>20892.961308540423</v>
      </c>
      <c r="P350" s="189" t="str">
        <f t="shared" si="209"/>
        <v>87</v>
      </c>
      <c r="Q350" s="160" t="str">
        <f t="shared" si="210"/>
        <v>1+984.5576063797i</v>
      </c>
      <c r="R350" s="160">
        <f t="shared" si="218"/>
        <v>984.55811422186969</v>
      </c>
      <c r="S350" s="160">
        <f t="shared" si="219"/>
        <v>1.5697806425427525</v>
      </c>
      <c r="T350" s="160" t="str">
        <f t="shared" si="211"/>
        <v>1+0.656371737586465i</v>
      </c>
      <c r="U350" s="160">
        <f t="shared" si="220"/>
        <v>1.1961704970037823</v>
      </c>
      <c r="V350" s="160">
        <f t="shared" si="221"/>
        <v>0.58084144048062492</v>
      </c>
      <c r="W350" s="98" t="str">
        <f t="shared" si="212"/>
        <v>1-0.0929859961580827i</v>
      </c>
      <c r="X350" s="160">
        <f t="shared" si="222"/>
        <v>1.0043138929047586</v>
      </c>
      <c r="Y350" s="160">
        <f t="shared" si="223"/>
        <v>-9.2719380059237314E-2</v>
      </c>
      <c r="Z350" s="98" t="str">
        <f t="shared" si="213"/>
        <v>0.996895887415181+0.195336229105732i</v>
      </c>
      <c r="AA350" s="160">
        <f t="shared" si="224"/>
        <v>1.0158531649537488</v>
      </c>
      <c r="AB350" s="160">
        <f t="shared" si="225"/>
        <v>0.19349298096197412</v>
      </c>
      <c r="AC350" s="171" t="str">
        <f t="shared" si="226"/>
        <v>0.0304463003082528-0.099964654298906i</v>
      </c>
      <c r="AD350" s="190">
        <f t="shared" si="227"/>
        <v>-19.617809683760221</v>
      </c>
      <c r="AE350" s="169">
        <f t="shared" si="228"/>
        <v>-73.060802804185258</v>
      </c>
      <c r="AF350" s="98" t="str">
        <f t="shared" si="214"/>
        <v>-0.0000673063927557778</v>
      </c>
      <c r="AG350" s="98" t="str">
        <f t="shared" si="215"/>
        <v>0.0013216701308041i</v>
      </c>
      <c r="AH350" s="98">
        <f t="shared" si="229"/>
        <v>1.3216701308041E-3</v>
      </c>
      <c r="AI350" s="98">
        <f t="shared" si="230"/>
        <v>1.5707963267948966</v>
      </c>
      <c r="AJ350" s="98" t="str">
        <f t="shared" si="216"/>
        <v>1+1.32995465303575i</v>
      </c>
      <c r="AK350" s="98">
        <f t="shared" si="231"/>
        <v>1.6639649573027198</v>
      </c>
      <c r="AL350" s="98">
        <f t="shared" si="232"/>
        <v>0.9260769178979138</v>
      </c>
      <c r="AM350" s="98" t="str">
        <f t="shared" si="217"/>
        <v>1+196.911521275939i</v>
      </c>
      <c r="AN350" s="98">
        <f t="shared" si="233"/>
        <v>196.91406047107094</v>
      </c>
      <c r="AO350" s="98">
        <f t="shared" si="234"/>
        <v>1.5657179474453293</v>
      </c>
      <c r="AP350" s="168" t="str">
        <f t="shared" si="235"/>
        <v>-3.59726812028575+4.8351287330588i</v>
      </c>
      <c r="AQ350" s="98">
        <f t="shared" si="236"/>
        <v>15.601315838804659</v>
      </c>
      <c r="AR350" s="169">
        <f t="shared" si="237"/>
        <v>126.64873139646971</v>
      </c>
      <c r="AS350" s="168" t="str">
        <f t="shared" si="238"/>
        <v>0.373818466811406+0.506811445500611i</v>
      </c>
      <c r="AT350" s="190">
        <f t="shared" si="239"/>
        <v>-4.0164938449555603</v>
      </c>
      <c r="AU350" s="169">
        <f t="shared" si="240"/>
        <v>53.587928592284499</v>
      </c>
      <c r="AV350" s="225"/>
      <c r="AX350">
        <f t="shared" si="241"/>
        <v>0</v>
      </c>
      <c r="AY350">
        <f t="shared" si="242"/>
        <v>0</v>
      </c>
    </row>
    <row r="351" spans="14:51" x14ac:dyDescent="0.25">
      <c r="N351" s="170">
        <v>33</v>
      </c>
      <c r="O351" s="199">
        <f t="shared" si="208"/>
        <v>21379.620895022348</v>
      </c>
      <c r="P351" s="189" t="str">
        <f t="shared" si="209"/>
        <v>87</v>
      </c>
      <c r="Q351" s="160" t="str">
        <f t="shared" si="210"/>
        <v>1+1007.49089910506i</v>
      </c>
      <c r="R351" s="160">
        <f t="shared" si="218"/>
        <v>1007.4913953873364</v>
      </c>
      <c r="S351" s="160">
        <f t="shared" si="219"/>
        <v>1.5698037623236012</v>
      </c>
      <c r="T351" s="160" t="str">
        <f t="shared" si="211"/>
        <v>1+0.67166059940337i</v>
      </c>
      <c r="U351" s="160">
        <f t="shared" si="220"/>
        <v>1.2046277270554975</v>
      </c>
      <c r="V351" s="160">
        <f t="shared" si="221"/>
        <v>0.59145197744960976</v>
      </c>
      <c r="W351" s="98" t="str">
        <f t="shared" si="212"/>
        <v>1-0.0951519182488109i</v>
      </c>
      <c r="X351" s="160">
        <f t="shared" si="222"/>
        <v>1.0045167432882482</v>
      </c>
      <c r="Y351" s="160">
        <f t="shared" si="223"/>
        <v>-9.4866303283671613E-2</v>
      </c>
      <c r="Z351" s="98" t="str">
        <f t="shared" si="213"/>
        <v>0.996749595096072+0.199886194382443i</v>
      </c>
      <c r="AA351" s="160">
        <f t="shared" si="224"/>
        <v>1.0165944353717855</v>
      </c>
      <c r="AB351" s="160">
        <f t="shared" si="225"/>
        <v>0.19791283720571254</v>
      </c>
      <c r="AC351" s="171" t="str">
        <f t="shared" si="226"/>
        <v>0.0303429188421212-0.0982067873698896i</v>
      </c>
      <c r="AD351" s="190">
        <f t="shared" si="227"/>
        <v>-19.76119572147654</v>
      </c>
      <c r="AE351" s="169">
        <f t="shared" si="228"/>
        <v>-72.830437231880282</v>
      </c>
      <c r="AF351" s="98" t="str">
        <f t="shared" si="214"/>
        <v>-0.0000673063927557778</v>
      </c>
      <c r="AG351" s="98" t="str">
        <f t="shared" si="215"/>
        <v>0.00135245578295863i</v>
      </c>
      <c r="AH351" s="98">
        <f t="shared" si="229"/>
        <v>1.35245578295863E-3</v>
      </c>
      <c r="AI351" s="98">
        <f t="shared" si="230"/>
        <v>1.5707963267948966</v>
      </c>
      <c r="AJ351" s="98" t="str">
        <f t="shared" si="216"/>
        <v>1+1.36093327650266i</v>
      </c>
      <c r="AK351" s="98">
        <f t="shared" si="231"/>
        <v>1.6888278133345229</v>
      </c>
      <c r="AL351" s="98">
        <f t="shared" si="232"/>
        <v>0.93710097271211013</v>
      </c>
      <c r="AM351" s="98" t="str">
        <f t="shared" si="217"/>
        <v>1+201.498179821011i</v>
      </c>
      <c r="AN351" s="98">
        <f t="shared" si="233"/>
        <v>201.50066121772522</v>
      </c>
      <c r="AO351" s="98">
        <f t="shared" si="234"/>
        <v>1.565833543552211</v>
      </c>
      <c r="AP351" s="168" t="str">
        <f t="shared" si="235"/>
        <v>-3.49213010124893+4.80232211853216i</v>
      </c>
      <c r="AQ351" s="98">
        <f t="shared" si="236"/>
        <v>15.472486860882547</v>
      </c>
      <c r="AR351" s="169">
        <f t="shared" si="237"/>
        <v>126.02372275154785</v>
      </c>
      <c r="AS351" s="168" t="str">
        <f t="shared" si="238"/>
        <v>0.365659206928081+0.48866734861769i</v>
      </c>
      <c r="AT351" s="190">
        <f t="shared" si="239"/>
        <v>-4.2887088605939825</v>
      </c>
      <c r="AU351" s="169">
        <f t="shared" si="240"/>
        <v>53.193285519667583</v>
      </c>
      <c r="AV351" s="225"/>
      <c r="AX351">
        <f t="shared" si="241"/>
        <v>0</v>
      </c>
      <c r="AY351">
        <f t="shared" si="242"/>
        <v>0</v>
      </c>
    </row>
    <row r="352" spans="14:51" x14ac:dyDescent="0.25">
      <c r="N352" s="170">
        <v>34</v>
      </c>
      <c r="O352" s="199">
        <f t="shared" si="208"/>
        <v>21877.61623949555</v>
      </c>
      <c r="P352" s="189" t="str">
        <f t="shared" si="209"/>
        <v>87</v>
      </c>
      <c r="Q352" s="160" t="str">
        <f t="shared" si="210"/>
        <v>1+1030.95837684084i</v>
      </c>
      <c r="R352" s="160">
        <f t="shared" si="218"/>
        <v>1030.9588618263581</v>
      </c>
      <c r="S352" s="160">
        <f t="shared" si="219"/>
        <v>1.5698263558350121</v>
      </c>
      <c r="T352" s="160" t="str">
        <f t="shared" si="211"/>
        <v>1+0.68730558456056i</v>
      </c>
      <c r="U352" s="160">
        <f t="shared" si="220"/>
        <v>1.2134203585601047</v>
      </c>
      <c r="V352" s="160">
        <f t="shared" si="221"/>
        <v>0.60215531730246152</v>
      </c>
      <c r="W352" s="98" t="str">
        <f t="shared" si="212"/>
        <v>1-0.0973682911460795i</v>
      </c>
      <c r="X352" s="160">
        <f t="shared" si="222"/>
        <v>1.0047291098205067</v>
      </c>
      <c r="Y352" s="160">
        <f t="shared" si="223"/>
        <v>-9.7062326942733507E-2</v>
      </c>
      <c r="Z352" s="98" t="str">
        <f t="shared" si="213"/>
        <v>0.996596408232372+0.204542141965223i</v>
      </c>
      <c r="AA352" s="160">
        <f t="shared" si="224"/>
        <v>1.0173700844537283</v>
      </c>
      <c r="AB352" s="160">
        <f t="shared" si="225"/>
        <v>0.20242957609370316</v>
      </c>
      <c r="AC352" s="171" t="str">
        <f t="shared" si="226"/>
        <v>0.0302353458307153-0.0964993345354337i</v>
      </c>
      <c r="AD352" s="190">
        <f t="shared" si="227"/>
        <v>-19.902815684438494</v>
      </c>
      <c r="AE352" s="169">
        <f t="shared" si="228"/>
        <v>-72.603088507285563</v>
      </c>
      <c r="AF352" s="98" t="str">
        <f t="shared" si="214"/>
        <v>-0.0000673063927557778</v>
      </c>
      <c r="AG352" s="98" t="str">
        <f t="shared" si="215"/>
        <v>0.00138395852507114i</v>
      </c>
      <c r="AH352" s="98">
        <f t="shared" si="229"/>
        <v>1.38395852507114E-3</v>
      </c>
      <c r="AI352" s="98">
        <f t="shared" si="230"/>
        <v>1.5707963267948966</v>
      </c>
      <c r="AJ352" s="98" t="str">
        <f t="shared" si="216"/>
        <v>1+1.39263348480686i</v>
      </c>
      <c r="AK352" s="98">
        <f t="shared" si="231"/>
        <v>1.7144760199563303</v>
      </c>
      <c r="AL352" s="98">
        <f t="shared" si="232"/>
        <v>0.94804945712994526</v>
      </c>
      <c r="AM352" s="98" t="str">
        <f t="shared" si="217"/>
        <v>1+206.191675368168i</v>
      </c>
      <c r="AN352" s="98">
        <f t="shared" si="233"/>
        <v>206.19410028206912</v>
      </c>
      <c r="AO352" s="98">
        <f t="shared" si="234"/>
        <v>1.5659465084986133</v>
      </c>
      <c r="AP352" s="168" t="str">
        <f t="shared" si="235"/>
        <v>-3.38842853599487+4.76747228418832i</v>
      </c>
      <c r="AQ352" s="98">
        <f t="shared" si="236"/>
        <v>15.341561199998768</v>
      </c>
      <c r="AR352" s="169">
        <f t="shared" si="237"/>
        <v>125.40289321700298</v>
      </c>
      <c r="AS352" s="168" t="str">
        <f t="shared" si="238"/>
        <v>0.357607594231828+0.471127272095163i</v>
      </c>
      <c r="AT352" s="190">
        <f t="shared" si="239"/>
        <v>-4.561254484439722</v>
      </c>
      <c r="AU352" s="169">
        <f t="shared" si="240"/>
        <v>52.799804709717407</v>
      </c>
      <c r="AV352" s="225"/>
      <c r="AX352">
        <f t="shared" si="241"/>
        <v>0</v>
      </c>
      <c r="AY352">
        <f t="shared" si="242"/>
        <v>0</v>
      </c>
    </row>
    <row r="353" spans="14:51" x14ac:dyDescent="0.25">
      <c r="N353" s="170">
        <v>35</v>
      </c>
      <c r="O353" s="199">
        <f t="shared" si="208"/>
        <v>22387.211385683382</v>
      </c>
      <c r="P353" s="189" t="str">
        <f t="shared" si="209"/>
        <v>87</v>
      </c>
      <c r="Q353" s="160" t="str">
        <f t="shared" si="210"/>
        <v>1+1054.97248235437i</v>
      </c>
      <c r="R353" s="160">
        <f t="shared" si="218"/>
        <v>1054.9729563002747</v>
      </c>
      <c r="S353" s="160">
        <f t="shared" si="219"/>
        <v>1.5698484350562716</v>
      </c>
      <c r="T353" s="160" t="str">
        <f t="shared" si="211"/>
        <v>1+0.703314988236245i</v>
      </c>
      <c r="U353" s="160">
        <f t="shared" si="220"/>
        <v>1.2225595988244293</v>
      </c>
      <c r="V353" s="160">
        <f t="shared" si="221"/>
        <v>0.61294732555257303</v>
      </c>
      <c r="W353" s="98" t="str">
        <f t="shared" si="212"/>
        <v>1-0.0996362900001349i</v>
      </c>
      <c r="X353" s="160">
        <f t="shared" si="222"/>
        <v>1.0049514367794052</v>
      </c>
      <c r="Y353" s="160">
        <f t="shared" si="223"/>
        <v>-9.9308530627662539E-2</v>
      </c>
      <c r="Z353" s="98" t="str">
        <f t="shared" si="213"/>
        <v>0.996436001894206+0.209306540499107i</v>
      </c>
      <c r="AA353" s="160">
        <f t="shared" si="224"/>
        <v>1.0181816801370052</v>
      </c>
      <c r="AB353" s="160">
        <f t="shared" si="225"/>
        <v>0.20704503986562148</v>
      </c>
      <c r="AC353" s="171" t="str">
        <f t="shared" si="226"/>
        <v>0.0301233952338512-0.094841280095615i</v>
      </c>
      <c r="AD353" s="190">
        <f t="shared" si="227"/>
        <v>-20.042644752005781</v>
      </c>
      <c r="AE353" s="169">
        <f t="shared" si="228"/>
        <v>-72.379161613976521</v>
      </c>
      <c r="AF353" s="98" t="str">
        <f t="shared" si="214"/>
        <v>-0.0000673063927557778</v>
      </c>
      <c r="AG353" s="98" t="str">
        <f t="shared" si="215"/>
        <v>0.00141619506031251i</v>
      </c>
      <c r="AH353" s="98">
        <f t="shared" si="229"/>
        <v>1.4161950603125101E-3</v>
      </c>
      <c r="AI353" s="98">
        <f t="shared" si="230"/>
        <v>1.5707963267948966</v>
      </c>
      <c r="AJ353" s="98" t="str">
        <f t="shared" si="216"/>
        <v>1+1.42507208581837i</v>
      </c>
      <c r="AK353" s="98">
        <f t="shared" si="231"/>
        <v>1.7409280426768705</v>
      </c>
      <c r="AL353" s="98">
        <f t="shared" si="232"/>
        <v>0.95891767734686084</v>
      </c>
      <c r="AM353" s="98" t="str">
        <f t="shared" si="217"/>
        <v>1+210.994496470873i</v>
      </c>
      <c r="AN353" s="98">
        <f t="shared" si="233"/>
        <v>210.99686618762192</v>
      </c>
      <c r="AO353" s="98">
        <f t="shared" si="234"/>
        <v>1.5660569021685065</v>
      </c>
      <c r="AP353" s="168" t="str">
        <f t="shared" si="235"/>
        <v>-3.28624182635528+4.73065771028513i</v>
      </c>
      <c r="AQ353" s="98">
        <f t="shared" si="236"/>
        <v>15.20856848640978</v>
      </c>
      <c r="AR353" s="169">
        <f t="shared" si="237"/>
        <v>124.78651515912472</v>
      </c>
      <c r="AS353" s="168" t="str">
        <f t="shared" si="238"/>
        <v>0.34966887156832+0.454174853438271i</v>
      </c>
      <c r="AT353" s="190">
        <f t="shared" si="239"/>
        <v>-4.8340762655959981</v>
      </c>
      <c r="AU353" s="169">
        <f t="shared" si="240"/>
        <v>52.407353545148169</v>
      </c>
      <c r="AV353" s="225"/>
      <c r="AX353">
        <f t="shared" si="241"/>
        <v>0</v>
      </c>
      <c r="AY353">
        <f t="shared" si="242"/>
        <v>0</v>
      </c>
    </row>
    <row r="354" spans="14:51" x14ac:dyDescent="0.25">
      <c r="N354" s="170">
        <v>36</v>
      </c>
      <c r="O354" s="199">
        <f t="shared" si="208"/>
        <v>22908.676527677751</v>
      </c>
      <c r="P354" s="189" t="str">
        <f t="shared" si="209"/>
        <v>87</v>
      </c>
      <c r="Q354" s="160" t="str">
        <f t="shared" si="210"/>
        <v>1+1079.54594824227i</v>
      </c>
      <c r="R354" s="160">
        <f t="shared" si="218"/>
        <v>1079.5464113998535</v>
      </c>
      <c r="S354" s="160">
        <f t="shared" si="219"/>
        <v>1.5698700116939894</v>
      </c>
      <c r="T354" s="160" t="str">
        <f t="shared" si="211"/>
        <v>1+0.719697298828175i</v>
      </c>
      <c r="U354" s="160">
        <f t="shared" si="220"/>
        <v>1.2320568988243081</v>
      </c>
      <c r="V354" s="160">
        <f t="shared" si="221"/>
        <v>0.62382366900512731</v>
      </c>
      <c r="W354" s="98" t="str">
        <f t="shared" si="212"/>
        <v>1-0.101957117333992i</v>
      </c>
      <c r="X354" s="160">
        <f t="shared" si="222"/>
        <v>1.0051841889798394</v>
      </c>
      <c r="Y354" s="160">
        <f t="shared" si="223"/>
        <v>-0.10160601459106321</v>
      </c>
      <c r="Z354" s="98" t="str">
        <f t="shared" si="213"/>
        <v>0.996268035838224+0.214181916131265i</v>
      </c>
      <c r="AA354" s="160">
        <f t="shared" si="224"/>
        <v>1.0190308594103581</v>
      </c>
      <c r="AB354" s="160">
        <f t="shared" si="225"/>
        <v>0.21176108632195945</v>
      </c>
      <c r="AC354" s="171" t="str">
        <f t="shared" si="226"/>
        <v>0.0300068755062673-0.0932316275686324i</v>
      </c>
      <c r="AD354" s="190">
        <f t="shared" si="227"/>
        <v>-20.180659756490765</v>
      </c>
      <c r="AE354" s="169">
        <f t="shared" si="228"/>
        <v>-72.159074980425402</v>
      </c>
      <c r="AF354" s="98" t="str">
        <f t="shared" si="214"/>
        <v>-0.0000673063927557778</v>
      </c>
      <c r="AG354" s="98" t="str">
        <f t="shared" si="215"/>
        <v>0.00144918248092041i</v>
      </c>
      <c r="AH354" s="98">
        <f t="shared" si="229"/>
        <v>1.4491824809204101E-3</v>
      </c>
      <c r="AI354" s="98">
        <f t="shared" si="230"/>
        <v>1.5707963267948966</v>
      </c>
      <c r="AJ354" s="98" t="str">
        <f t="shared" si="216"/>
        <v>1+1.45826627891287i</v>
      </c>
      <c r="AK354" s="98">
        <f t="shared" si="231"/>
        <v>1.7682026298516775</v>
      </c>
      <c r="AL354" s="98">
        <f t="shared" si="232"/>
        <v>0.96970112612604686</v>
      </c>
      <c r="AM354" s="98" t="str">
        <f t="shared" si="217"/>
        <v>1+215.909189648452i</v>
      </c>
      <c r="AN354" s="98">
        <f t="shared" si="233"/>
        <v>215.91150542444748</v>
      </c>
      <c r="AO354" s="98">
        <f t="shared" si="234"/>
        <v>1.566164783083307</v>
      </c>
      <c r="AP354" s="168" t="str">
        <f t="shared" si="235"/>
        <v>-3.18564293811175+4.69196006084235i</v>
      </c>
      <c r="AQ354" s="98">
        <f t="shared" si="236"/>
        <v>15.073539870822588</v>
      </c>
      <c r="AR354" s="169">
        <f t="shared" si="237"/>
        <v>124.17485017658987</v>
      </c>
      <c r="AS354" s="168" t="str">
        <f t="shared" si="238"/>
        <v>0.341847881908013+0.437793737398753i</v>
      </c>
      <c r="AT354" s="190">
        <f t="shared" si="239"/>
        <v>-5.1071198856681814</v>
      </c>
      <c r="AU354" s="169">
        <f t="shared" si="240"/>
        <v>52.015775196164455</v>
      </c>
      <c r="AV354" s="225"/>
      <c r="AX354">
        <f t="shared" si="241"/>
        <v>0</v>
      </c>
      <c r="AY354">
        <f t="shared" si="242"/>
        <v>0</v>
      </c>
    </row>
    <row r="355" spans="14:51" x14ac:dyDescent="0.25">
      <c r="N355" s="170">
        <v>37</v>
      </c>
      <c r="O355" s="199">
        <f t="shared" si="208"/>
        <v>23442.288153199243</v>
      </c>
      <c r="P355" s="189" t="str">
        <f t="shared" si="209"/>
        <v>87</v>
      </c>
      <c r="Q355" s="160" t="str">
        <f t="shared" si="210"/>
        <v>1+1104.69180368139i</v>
      </c>
      <c r="R355" s="160">
        <f t="shared" si="218"/>
        <v>1104.6922562962241</v>
      </c>
      <c r="S355" s="160">
        <f t="shared" si="219"/>
        <v>1.5698910971883036</v>
      </c>
      <c r="T355" s="160" t="str">
        <f t="shared" si="211"/>
        <v>1+0.73646120245426i</v>
      </c>
      <c r="U355" s="160">
        <f t="shared" si="220"/>
        <v>1.2419239520680703</v>
      </c>
      <c r="V355" s="160">
        <f t="shared" si="221"/>
        <v>0.63477982169453329</v>
      </c>
      <c r="W355" s="98" t="str">
        <f t="shared" si="212"/>
        <v>1-0.10433200368102i</v>
      </c>
      <c r="X355" s="160">
        <f t="shared" si="222"/>
        <v>1.0054278527035625</v>
      </c>
      <c r="Y355" s="160">
        <f t="shared" si="223"/>
        <v>-0.10395589991925375</v>
      </c>
      <c r="Z355" s="98" t="str">
        <f t="shared" si="213"/>
        <v>0.996092153785901+0.219170853850388i</v>
      </c>
      <c r="AA355" s="160">
        <f t="shared" si="224"/>
        <v>1.0199193311293511</v>
      </c>
      <c r="AB355" s="160">
        <f t="shared" si="225"/>
        <v>0.21657958749281964</v>
      </c>
      <c r="AC355" s="171" t="str">
        <f t="shared" si="226"/>
        <v>0.0298855895164254-0.0916693987675386i</v>
      </c>
      <c r="AD355" s="190">
        <f t="shared" si="227"/>
        <v>-20.316839305176071</v>
      </c>
      <c r="AE355" s="169">
        <f t="shared" si="228"/>
        <v>-71.943260073768798</v>
      </c>
      <c r="AF355" s="98" t="str">
        <f t="shared" si="214"/>
        <v>-0.0000673063927557778</v>
      </c>
      <c r="AG355" s="98" t="str">
        <f t="shared" si="215"/>
        <v>0.00148293827726189i</v>
      </c>
      <c r="AH355" s="98">
        <f t="shared" si="229"/>
        <v>1.4829382772618899E-3</v>
      </c>
      <c r="AI355" s="98">
        <f t="shared" si="230"/>
        <v>1.5707963267948966</v>
      </c>
      <c r="AJ355" s="98" t="str">
        <f t="shared" si="216"/>
        <v>1+1.49223366409087i</v>
      </c>
      <c r="AK355" s="98">
        <f t="shared" si="231"/>
        <v>1.7963188214362347</v>
      </c>
      <c r="AL355" s="98">
        <f t="shared" si="232"/>
        <v>0.98039548963149081</v>
      </c>
      <c r="AM355" s="98" t="str">
        <f t="shared" si="217"/>
        <v>1+220.938360736278i</v>
      </c>
      <c r="AN355" s="98">
        <f t="shared" si="233"/>
        <v>220.94062379932242</v>
      </c>
      <c r="AO355" s="98">
        <f t="shared" si="234"/>
        <v>1.5662702084328535</v>
      </c>
      <c r="AP355" s="168" t="str">
        <f t="shared" si="235"/>
        <v>-3.08669927558665+4.651463754161i</v>
      </c>
      <c r="AQ355" s="98">
        <f t="shared" si="236"/>
        <v>14.936507913893294</v>
      </c>
      <c r="AR355" s="169">
        <f t="shared" si="237"/>
        <v>123.56814871073202</v>
      </c>
      <c r="AS355" s="168" t="str">
        <f t="shared" si="238"/>
        <v>0.334149058222107+0.421967603176612i</v>
      </c>
      <c r="AT355" s="190">
        <f t="shared" si="239"/>
        <v>-5.3803313912827733</v>
      </c>
      <c r="AU355" s="169">
        <f t="shared" si="240"/>
        <v>51.624888636963199</v>
      </c>
      <c r="AV355" s="225"/>
      <c r="AX355">
        <f t="shared" si="241"/>
        <v>0</v>
      </c>
      <c r="AY355">
        <f t="shared" si="242"/>
        <v>0</v>
      </c>
    </row>
    <row r="356" spans="14:51" x14ac:dyDescent="0.25">
      <c r="N356" s="170">
        <v>38</v>
      </c>
      <c r="O356" s="199">
        <f t="shared" si="208"/>
        <v>23988.329190194923</v>
      </c>
      <c r="P356" s="189" t="str">
        <f t="shared" si="209"/>
        <v>87</v>
      </c>
      <c r="Q356" s="160" t="str">
        <f t="shared" si="210"/>
        <v>1+1130.42338133715i</v>
      </c>
      <c r="R356" s="160">
        <f t="shared" si="218"/>
        <v>1130.423823649217</v>
      </c>
      <c r="S356" s="160">
        <f t="shared" si="219"/>
        <v>1.5699117027189475</v>
      </c>
      <c r="T356" s="160" t="str">
        <f t="shared" si="211"/>
        <v>1+0.7536155875581i</v>
      </c>
      <c r="U356" s="160">
        <f t="shared" si="220"/>
        <v>1.2521726932857704</v>
      </c>
      <c r="V356" s="160">
        <f t="shared" si="221"/>
        <v>0.64581107181541952</v>
      </c>
      <c r="W356" s="98" t="str">
        <f t="shared" si="212"/>
        <v>1-0.106762208237398i</v>
      </c>
      <c r="X356" s="160">
        <f t="shared" si="222"/>
        <v>1.0056829366692694</v>
      </c>
      <c r="Y356" s="160">
        <f t="shared" si="223"/>
        <v>-0.10635932868797084</v>
      </c>
      <c r="Z356" s="98" t="str">
        <f t="shared" si="213"/>
        <v>0.995907982667825+0.224275998857291i</v>
      </c>
      <c r="AA356" s="160">
        <f t="shared" si="224"/>
        <v>1.020848878926226</v>
      </c>
      <c r="AB356" s="160">
        <f t="shared" si="225"/>
        <v>0.22150242818379698</v>
      </c>
      <c r="AC356" s="171" t="str">
        <f t="shared" si="226"/>
        <v>0.0297593344794445-0.090153632869548i</v>
      </c>
      <c r="AD356" s="190">
        <f t="shared" si="227"/>
        <v>-20.45116390001678</v>
      </c>
      <c r="AE356" s="169">
        <f t="shared" si="228"/>
        <v>-71.732160928645371</v>
      </c>
      <c r="AF356" s="98" t="str">
        <f t="shared" si="214"/>
        <v>-0.0000673063927557778</v>
      </c>
      <c r="AG356" s="98" t="str">
        <f t="shared" si="215"/>
        <v>0.00151748034710699i</v>
      </c>
      <c r="AH356" s="98">
        <f t="shared" si="229"/>
        <v>1.5174803471069899E-3</v>
      </c>
      <c r="AI356" s="98">
        <f t="shared" si="230"/>
        <v>1.5707963267948966</v>
      </c>
      <c r="AJ356" s="98" t="str">
        <f t="shared" si="216"/>
        <v>1+1.52699225130962i</v>
      </c>
      <c r="AK356" s="98">
        <f t="shared" si="231"/>
        <v>1.8252959583474735</v>
      </c>
      <c r="AL356" s="98">
        <f t="shared" si="232"/>
        <v>0.99099665326741759</v>
      </c>
      <c r="AM356" s="98" t="str">
        <f t="shared" si="217"/>
        <v>1+226.08467626743i</v>
      </c>
      <c r="AN356" s="98">
        <f t="shared" si="233"/>
        <v>226.08688781738013</v>
      </c>
      <c r="AO356" s="98">
        <f t="shared" si="234"/>
        <v>1.5663732341056824</v>
      </c>
      <c r="AP356" s="168" t="str">
        <f t="shared" si="235"/>
        <v>-2.9894725942146+4.60925553262837i</v>
      </c>
      <c r="AQ356" s="98">
        <f t="shared" si="236"/>
        <v>14.797506473591081</v>
      </c>
      <c r="AR356" s="169">
        <f t="shared" si="237"/>
        <v>122.96664971270032</v>
      </c>
      <c r="AS356" s="168" t="str">
        <f t="shared" si="238"/>
        <v>0.326576416242146+0.406680191829116i</v>
      </c>
      <c r="AT356" s="190">
        <f t="shared" si="239"/>
        <v>-5.6536574264257009</v>
      </c>
      <c r="AU356" s="169">
        <f t="shared" si="240"/>
        <v>51.234488784054946</v>
      </c>
      <c r="AV356" s="225"/>
      <c r="AX356">
        <f t="shared" si="241"/>
        <v>0</v>
      </c>
      <c r="AY356">
        <f t="shared" si="242"/>
        <v>0</v>
      </c>
    </row>
    <row r="357" spans="14:51" x14ac:dyDescent="0.25">
      <c r="N357" s="170">
        <v>39</v>
      </c>
      <c r="O357" s="199">
        <f t="shared" si="208"/>
        <v>24547.089156850321</v>
      </c>
      <c r="P357" s="189" t="str">
        <f t="shared" si="209"/>
        <v>87</v>
      </c>
      <c r="Q357" s="160" t="str">
        <f t="shared" si="210"/>
        <v>1+1156.75432443262i</v>
      </c>
      <c r="R357" s="160">
        <f t="shared" si="218"/>
        <v>1156.7547566764388</v>
      </c>
      <c r="S357" s="160">
        <f t="shared" si="219"/>
        <v>1.5699318392111761</v>
      </c>
      <c r="T357" s="160" t="str">
        <f t="shared" si="211"/>
        <v>1+0.771169549621745i</v>
      </c>
      <c r="U357" s="160">
        <f t="shared" si="220"/>
        <v>1.2628152969709405</v>
      </c>
      <c r="V357" s="160">
        <f t="shared" si="221"/>
        <v>0.65691252964020141</v>
      </c>
      <c r="W357" s="98" t="str">
        <f t="shared" si="212"/>
        <v>1-0.109249019529747i</v>
      </c>
      <c r="X357" s="160">
        <f t="shared" si="222"/>
        <v>1.0059499730444903</v>
      </c>
      <c r="Y357" s="160">
        <f t="shared" si="223"/>
        <v>-0.10881746409969068</v>
      </c>
      <c r="Z357" s="98" t="str">
        <f t="shared" si="213"/>
        <v>0.99571513183236+0.229500057967431i</v>
      </c>
      <c r="AA357" s="160">
        <f t="shared" si="224"/>
        <v>1.0218213642153842</v>
      </c>
      <c r="AB357" s="160">
        <f t="shared" si="225"/>
        <v>0.22653150439259151</v>
      </c>
      <c r="AC357" s="171" t="str">
        <f t="shared" si="226"/>
        <v>0.0296279019058343-0.0886833854773469i</v>
      </c>
      <c r="AD357" s="190">
        <f t="shared" si="227"/>
        <v>-20.583616054208299</v>
      </c>
      <c r="AE357" s="169">
        <f t="shared" si="228"/>
        <v>-71.526233611038592</v>
      </c>
      <c r="AF357" s="98" t="str">
        <f t="shared" si="214"/>
        <v>-0.0000673063927557778</v>
      </c>
      <c r="AG357" s="98" t="str">
        <f t="shared" si="215"/>
        <v>0.00155282700511835i</v>
      </c>
      <c r="AH357" s="98">
        <f t="shared" si="229"/>
        <v>1.5528270051183501E-3</v>
      </c>
      <c r="AI357" s="98">
        <f t="shared" si="230"/>
        <v>1.5707963267948966</v>
      </c>
      <c r="AJ357" s="98" t="str">
        <f t="shared" si="216"/>
        <v>1+1.56256047003214i</v>
      </c>
      <c r="AK357" s="98">
        <f t="shared" si="231"/>
        <v>1.855153692422022</v>
      </c>
      <c r="AL357" s="98">
        <f t="shared" si="232"/>
        <v>1.0015007065264967</v>
      </c>
      <c r="AM357" s="98" t="str">
        <f t="shared" si="217"/>
        <v>1+231.350864886523i</v>
      </c>
      <c r="AN357" s="98">
        <f t="shared" si="233"/>
        <v>231.353026095926</v>
      </c>
      <c r="AO357" s="98">
        <f t="shared" si="234"/>
        <v>1.5664739147186157</v>
      </c>
      <c r="AP357" s="168" t="str">
        <f t="shared" si="235"/>
        <v>-2.89401895014212+4.56542403543283i</v>
      </c>
      <c r="AQ357" s="98">
        <f t="shared" si="236"/>
        <v>14.656570591181984</v>
      </c>
      <c r="AR357" s="169">
        <f t="shared" si="237"/>
        <v>122.3705803673744</v>
      </c>
      <c r="AS357" s="168" t="str">
        <f t="shared" si="238"/>
        <v>0.319133550033398+0.391915333614542i</v>
      </c>
      <c r="AT357" s="190">
        <f t="shared" si="239"/>
        <v>-5.9270454630263245</v>
      </c>
      <c r="AU357" s="169">
        <f t="shared" si="240"/>
        <v>50.844346756335796</v>
      </c>
      <c r="AV357" s="225"/>
      <c r="AX357">
        <f t="shared" si="241"/>
        <v>0</v>
      </c>
      <c r="AY357">
        <f t="shared" si="242"/>
        <v>0</v>
      </c>
    </row>
    <row r="358" spans="14:51" x14ac:dyDescent="0.25">
      <c r="N358" s="170">
        <v>40</v>
      </c>
      <c r="O358" s="199">
        <f t="shared" si="208"/>
        <v>25118.86431509586</v>
      </c>
      <c r="P358" s="189" t="str">
        <f t="shared" si="209"/>
        <v>87</v>
      </c>
      <c r="Q358" s="160" t="str">
        <f t="shared" si="210"/>
        <v>1+1183.69859398236i</v>
      </c>
      <c r="R358" s="160">
        <f t="shared" si="218"/>
        <v>1183.6990163871117</v>
      </c>
      <c r="S358" s="160">
        <f t="shared" si="219"/>
        <v>1.5699515173415588</v>
      </c>
      <c r="T358" s="160" t="str">
        <f t="shared" si="211"/>
        <v>1+0.78913239598824i</v>
      </c>
      <c r="U358" s="160">
        <f t="shared" si="220"/>
        <v>1.2738641758045246</v>
      </c>
      <c r="V358" s="160">
        <f t="shared" si="221"/>
        <v>0.66807913640737593</v>
      </c>
      <c r="W358" s="98" t="str">
        <f t="shared" si="212"/>
        <v>1-0.111793756098334i</v>
      </c>
      <c r="X358" s="160">
        <f t="shared" si="222"/>
        <v>1.0062295185009102</v>
      </c>
      <c r="Y358" s="160">
        <f t="shared" si="223"/>
        <v>-0.11133149060079334</v>
      </c>
      <c r="Z358" s="98" t="str">
        <f t="shared" si="213"/>
        <v>0.99551319221703+0.2348458010461i</v>
      </c>
      <c r="AA358" s="160">
        <f t="shared" si="224"/>
        <v>1.0228387292956431</v>
      </c>
      <c r="AB358" s="160">
        <f t="shared" si="225"/>
        <v>0.23166872158994478</v>
      </c>
      <c r="AC358" s="171" t="str">
        <f t="shared" si="226"/>
        <v>0.0294910775677998-0.0872577276718826i</v>
      </c>
      <c r="AD358" s="190">
        <f t="shared" si="227"/>
        <v>-20.714180404793758</v>
      </c>
      <c r="AE358" s="169">
        <f t="shared" si="228"/>
        <v>-71.325945617564528</v>
      </c>
      <c r="AF358" s="98" t="str">
        <f t="shared" si="214"/>
        <v>-0.0000673063927557778</v>
      </c>
      <c r="AG358" s="98" t="str">
        <f t="shared" si="215"/>
        <v>0.00158899699256192i</v>
      </c>
      <c r="AH358" s="98">
        <f t="shared" si="229"/>
        <v>1.5889969925619201E-3</v>
      </c>
      <c r="AI358" s="98">
        <f t="shared" si="230"/>
        <v>1.5707963267948966</v>
      </c>
      <c r="AJ358" s="98" t="str">
        <f t="shared" si="216"/>
        <v>1+1.59895717899882i</v>
      </c>
      <c r="AK358" s="98">
        <f t="shared" si="231"/>
        <v>1.8859119969584646</v>
      </c>
      <c r="AL358" s="98">
        <f t="shared" si="232"/>
        <v>1.0119039468576303</v>
      </c>
      <c r="AM358" s="98" t="str">
        <f t="shared" si="217"/>
        <v>1+236.739718796472i</v>
      </c>
      <c r="AN358" s="98">
        <f t="shared" si="233"/>
        <v>236.74183081118687</v>
      </c>
      <c r="AO358" s="98">
        <f t="shared" si="234"/>
        <v>1.5665723036456782</v>
      </c>
      <c r="AP358" s="168" t="str">
        <f t="shared" si="235"/>
        <v>-2.80038868554056+4.52005937759319i</v>
      </c>
      <c r="AQ358" s="98">
        <f t="shared" si="236"/>
        <v>14.513736376561271</v>
      </c>
      <c r="AR358" s="169">
        <f t="shared" si="237"/>
        <v>121.78015587341164</v>
      </c>
      <c r="AS358" s="168" t="str">
        <f t="shared" si="238"/>
        <v>0.3118236302855+0.377656975013981i</v>
      </c>
      <c r="AT358" s="190">
        <f t="shared" si="239"/>
        <v>-6.2004440282324937</v>
      </c>
      <c r="AU358" s="169">
        <f t="shared" si="240"/>
        <v>50.454210255847158</v>
      </c>
      <c r="AV358" s="225"/>
      <c r="AX358">
        <f t="shared" si="241"/>
        <v>0</v>
      </c>
      <c r="AY358">
        <f t="shared" si="242"/>
        <v>0</v>
      </c>
    </row>
    <row r="359" spans="14:51" x14ac:dyDescent="0.25">
      <c r="N359" s="170">
        <v>41</v>
      </c>
      <c r="O359" s="199">
        <f t="shared" si="208"/>
        <v>25703.95782768865</v>
      </c>
      <c r="P359" s="189" t="str">
        <f t="shared" si="209"/>
        <v>87</v>
      </c>
      <c r="Q359" s="160" t="str">
        <f t="shared" si="210"/>
        <v>1+1211.27047619473i</v>
      </c>
      <c r="R359" s="160">
        <f t="shared" si="218"/>
        <v>1211.2708889843791</v>
      </c>
      <c r="S359" s="160">
        <f t="shared" si="219"/>
        <v>1.5699707475436397</v>
      </c>
      <c r="T359" s="160" t="str">
        <f t="shared" si="211"/>
        <v>1+0.807513650796485i</v>
      </c>
      <c r="U359" s="160">
        <f t="shared" si="220"/>
        <v>1.2853319789932356</v>
      </c>
      <c r="V359" s="160">
        <f t="shared" si="221"/>
        <v>0.67930567415543253</v>
      </c>
      <c r="W359" s="98" t="str">
        <f t="shared" si="212"/>
        <v>1-0.114397767196169i</v>
      </c>
      <c r="X359" s="160">
        <f t="shared" si="222"/>
        <v>1.0065221553147594</v>
      </c>
      <c r="Y359" s="160">
        <f t="shared" si="223"/>
        <v>-0.1139026139765951</v>
      </c>
      <c r="Z359" s="98" t="str">
        <f t="shared" si="213"/>
        <v>0.995301735480835+0.240316062477034i</v>
      </c>
      <c r="AA359" s="160">
        <f t="shared" si="224"/>
        <v>1.0239030005501633</v>
      </c>
      <c r="AB359" s="160">
        <f t="shared" si="225"/>
        <v>0.23691599285840917</v>
      </c>
      <c r="AC359" s="171" t="str">
        <f t="shared" si="226"/>
        <v>0.0293486414850226-0.0858757450562323i</v>
      </c>
      <c r="AD359" s="190">
        <f t="shared" si="227"/>
        <v>-20.842843820480226</v>
      </c>
      <c r="AE359" s="169">
        <f t="shared" si="228"/>
        <v>-71.131775211159109</v>
      </c>
      <c r="AF359" s="98" t="str">
        <f t="shared" si="214"/>
        <v>-0.0000673063927557778</v>
      </c>
      <c r="AG359" s="98" t="str">
        <f t="shared" si="215"/>
        <v>0.0016260094872438i</v>
      </c>
      <c r="AH359" s="98">
        <f t="shared" si="229"/>
        <v>1.6260094872438001E-3</v>
      </c>
      <c r="AI359" s="98">
        <f t="shared" si="230"/>
        <v>1.5707963267948966</v>
      </c>
      <c r="AJ359" s="98" t="str">
        <f t="shared" si="216"/>
        <v>1+1.63620167622649i</v>
      </c>
      <c r="AK359" s="98">
        <f t="shared" si="231"/>
        <v>1.9175911778286776</v>
      </c>
      <c r="AL359" s="98">
        <f t="shared" si="232"/>
        <v>1.0222028825715184</v>
      </c>
      <c r="AM359" s="98" t="str">
        <f t="shared" si="217"/>
        <v>1+242.254095238945i</v>
      </c>
      <c r="AN359" s="98">
        <f t="shared" si="233"/>
        <v>242.25615917874998</v>
      </c>
      <c r="AO359" s="98">
        <f t="shared" si="234"/>
        <v>1.5666684530463573</v>
      </c>
      <c r="AP359" s="168" t="str">
        <f t="shared" si="235"/>
        <v>-2.70862644800095+4.473252738454i</v>
      </c>
      <c r="AQ359" s="98">
        <f t="shared" si="236"/>
        <v>14.369040893637713</v>
      </c>
      <c r="AR359" s="169">
        <f t="shared" si="237"/>
        <v>121.19557927839099</v>
      </c>
      <c r="AS359" s="168" t="str">
        <f t="shared" si="238"/>
        <v>0.304649405200339+0.36388920519388i</v>
      </c>
      <c r="AT359" s="190">
        <f t="shared" si="239"/>
        <v>-6.4738029268425032</v>
      </c>
      <c r="AU359" s="169">
        <f t="shared" si="240"/>
        <v>50.063804067231871</v>
      </c>
      <c r="AV359" s="225"/>
      <c r="AX359">
        <f t="shared" si="241"/>
        <v>0</v>
      </c>
      <c r="AY359">
        <f t="shared" si="242"/>
        <v>0</v>
      </c>
    </row>
    <row r="360" spans="14:51" x14ac:dyDescent="0.25">
      <c r="N360" s="170">
        <v>42</v>
      </c>
      <c r="O360" s="199">
        <f t="shared" si="208"/>
        <v>26302.679918953829</v>
      </c>
      <c r="P360" s="189" t="str">
        <f t="shared" si="209"/>
        <v>87</v>
      </c>
      <c r="Q360" s="160" t="str">
        <f t="shared" si="210"/>
        <v>1+1239.48459004664i</v>
      </c>
      <c r="R360" s="160">
        <f t="shared" si="218"/>
        <v>1239.4849934400527</v>
      </c>
      <c r="S360" s="160">
        <f t="shared" si="219"/>
        <v>1.56998954001347</v>
      </c>
      <c r="T360" s="160" t="str">
        <f t="shared" si="211"/>
        <v>1+0.82632306003109i</v>
      </c>
      <c r="U360" s="160">
        <f t="shared" si="220"/>
        <v>1.2972315905570386</v>
      </c>
      <c r="V360" s="160">
        <f t="shared" si="221"/>
        <v>0.69058677646801558</v>
      </c>
      <c r="W360" s="98" t="str">
        <f t="shared" si="212"/>
        <v>1-0.117062433504405i</v>
      </c>
      <c r="X360" s="160">
        <f t="shared" si="222"/>
        <v>1.0068284925139799</v>
      </c>
      <c r="Y360" s="160">
        <f t="shared" si="223"/>
        <v>-0.11653206142222729</v>
      </c>
      <c r="Z360" s="98" t="str">
        <f t="shared" si="213"/>
        <v>0.995080313095688+0.245913742665252i</v>
      </c>
      <c r="AA360" s="160">
        <f t="shared" si="224"/>
        <v>1.025016291744792</v>
      </c>
      <c r="AB360" s="160">
        <f t="shared" si="225"/>
        <v>0.2422752368824731</v>
      </c>
      <c r="AC360" s="171" t="str">
        <f t="shared" si="226"/>
        <v>0.0292003679319418-0.0845365367902665i</v>
      </c>
      <c r="AD360" s="190">
        <f t="shared" si="227"/>
        <v>-20.969595503840228</v>
      </c>
      <c r="AE360" s="169">
        <f t="shared" si="228"/>
        <v>-70.944210694646429</v>
      </c>
      <c r="AF360" s="98" t="str">
        <f t="shared" si="214"/>
        <v>-0.0000673063927557778</v>
      </c>
      <c r="AG360" s="98" t="str">
        <f t="shared" si="215"/>
        <v>0.00166388411367861i</v>
      </c>
      <c r="AH360" s="98">
        <f t="shared" si="229"/>
        <v>1.66388411367861E-3</v>
      </c>
      <c r="AI360" s="98">
        <f t="shared" si="230"/>
        <v>1.5707963267948966</v>
      </c>
      <c r="AJ360" s="98" t="str">
        <f t="shared" si="216"/>
        <v>1+1.67431370924059i</v>
      </c>
      <c r="AK360" s="98">
        <f t="shared" si="231"/>
        <v>1.9502118851424795</v>
      </c>
      <c r="AL360" s="98">
        <f t="shared" si="232"/>
        <v>1.0323942348093327</v>
      </c>
      <c r="AM360" s="98" t="str">
        <f t="shared" si="217"/>
        <v>1+247.896918009327i</v>
      </c>
      <c r="AN360" s="98">
        <f t="shared" si="233"/>
        <v>247.89893496851295</v>
      </c>
      <c r="AO360" s="98">
        <f t="shared" si="234"/>
        <v>1.5667624138932228</v>
      </c>
      <c r="AP360" s="168" t="str">
        <f t="shared" si="235"/>
        <v>-2.61877124209974+4.42509596251518i</v>
      </c>
      <c r="AQ360" s="98">
        <f t="shared" si="236"/>
        <v>14.222522046434229</v>
      </c>
      <c r="AR360" s="169">
        <f t="shared" si="237"/>
        <v>120.61704136759788</v>
      </c>
      <c r="AS360" s="168" t="str">
        <f t="shared" si="238"/>
        <v>0.297613203836724+0.35059628169265i</v>
      </c>
      <c r="AT360" s="190">
        <f t="shared" si="239"/>
        <v>-6.7470734574059943</v>
      </c>
      <c r="AU360" s="169">
        <f t="shared" si="240"/>
        <v>49.672830672951427</v>
      </c>
      <c r="AV360" s="225"/>
      <c r="AX360">
        <f t="shared" si="241"/>
        <v>0</v>
      </c>
      <c r="AY360">
        <f t="shared" si="242"/>
        <v>0</v>
      </c>
    </row>
    <row r="361" spans="14:51" x14ac:dyDescent="0.25">
      <c r="N361" s="170">
        <v>43</v>
      </c>
      <c r="O361" s="199">
        <f t="shared" si="208"/>
        <v>26915.348039269167</v>
      </c>
      <c r="P361" s="189" t="str">
        <f t="shared" si="209"/>
        <v>87</v>
      </c>
      <c r="Q361" s="160" t="str">
        <f t="shared" si="210"/>
        <v>1+1268.35589503471i</v>
      </c>
      <c r="R361" s="160">
        <f t="shared" si="218"/>
        <v>1268.3562892457703</v>
      </c>
      <c r="S361" s="160">
        <f t="shared" si="219"/>
        <v>1.5700079047150122</v>
      </c>
      <c r="T361" s="160" t="str">
        <f t="shared" si="211"/>
        <v>1+0.845570596689805i</v>
      </c>
      <c r="U361" s="160">
        <f t="shared" si="220"/>
        <v>1.3095761276024975</v>
      </c>
      <c r="V361" s="160">
        <f t="shared" si="221"/>
        <v>0.70191694008659855</v>
      </c>
      <c r="W361" s="98" t="str">
        <f t="shared" si="212"/>
        <v>1-0.119789167864389i</v>
      </c>
      <c r="X361" s="160">
        <f t="shared" si="222"/>
        <v>1.0071491670738961</v>
      </c>
      <c r="Y361" s="160">
        <f t="shared" si="223"/>
        <v>-0.11922108158713844</v>
      </c>
      <c r="Z361" s="98" t="str">
        <f t="shared" si="213"/>
        <v>0.994848455395022+0.251641809574886i</v>
      </c>
      <c r="AA361" s="160">
        <f t="shared" si="224"/>
        <v>1.0261808074252725</v>
      </c>
      <c r="AB361" s="160">
        <f t="shared" si="225"/>
        <v>0.24774837578352074</v>
      </c>
      <c r="AC361" s="171" t="str">
        <f t="shared" si="226"/>
        <v>0.0290460254686838-0.0832392146159571i</v>
      </c>
      <c r="AD361" s="190">
        <f t="shared" si="227"/>
        <v>-21.094427087090423</v>
      </c>
      <c r="AE361" s="169">
        <f t="shared" si="228"/>
        <v>-70.763749624193267</v>
      </c>
      <c r="AF361" s="98" t="str">
        <f t="shared" si="214"/>
        <v>-0.0000673063927557778</v>
      </c>
      <c r="AG361" s="98" t="str">
        <f t="shared" si="215"/>
        <v>0.00170264095349459i</v>
      </c>
      <c r="AH361" s="98">
        <f t="shared" si="229"/>
        <v>1.70264095349459E-3</v>
      </c>
      <c r="AI361" s="98">
        <f t="shared" si="230"/>
        <v>1.5707963267948966</v>
      </c>
      <c r="AJ361" s="98" t="str">
        <f t="shared" si="216"/>
        <v>1+1.71331348554549i</v>
      </c>
      <c r="AK361" s="98">
        <f t="shared" si="231"/>
        <v>1.9837951254481991</v>
      </c>
      <c r="AL361" s="98">
        <f t="shared" si="232"/>
        <v>1.0424749386059196</v>
      </c>
      <c r="AM361" s="98" t="str">
        <f t="shared" si="217"/>
        <v>1+253.671179006941i</v>
      </c>
      <c r="AN361" s="98">
        <f t="shared" si="233"/>
        <v>253.67315005489152</v>
      </c>
      <c r="AO361" s="98">
        <f t="shared" si="234"/>
        <v>1.566854235998919</v>
      </c>
      <c r="AP361" s="168" t="str">
        <f t="shared" si="235"/>
        <v>-2.53085651099406+4.37568117516053i</v>
      </c>
      <c r="AQ361" s="98">
        <f t="shared" si="236"/>
        <v>14.074218466530169</v>
      </c>
      <c r="AR361" s="169">
        <f t="shared" si="237"/>
        <v>120.04472060465433</v>
      </c>
      <c r="AS361" s="168" t="str">
        <f t="shared" si="238"/>
        <v>0.290716941754273+0.33776265513738i</v>
      </c>
      <c r="AT361" s="190">
        <f t="shared" si="239"/>
        <v>-7.0202086205602576</v>
      </c>
      <c r="AU361" s="169">
        <f t="shared" si="240"/>
        <v>49.280970980461078</v>
      </c>
      <c r="AV361" s="225"/>
      <c r="AX361">
        <f t="shared" si="241"/>
        <v>0</v>
      </c>
      <c r="AY361">
        <f t="shared" si="242"/>
        <v>0</v>
      </c>
    </row>
    <row r="362" spans="14:51" x14ac:dyDescent="0.25">
      <c r="N362" s="170">
        <v>44</v>
      </c>
      <c r="O362" s="199">
        <f t="shared" si="208"/>
        <v>27542.287033381719</v>
      </c>
      <c r="P362" s="189" t="str">
        <f t="shared" si="209"/>
        <v>87</v>
      </c>
      <c r="Q362" s="160" t="str">
        <f t="shared" si="210"/>
        <v>1+1297.89969910701i</v>
      </c>
      <c r="R362" s="160">
        <f t="shared" si="218"/>
        <v>1297.9000843447341</v>
      </c>
      <c r="S362" s="160">
        <f t="shared" si="219"/>
        <v>1.5700258513854251</v>
      </c>
      <c r="T362" s="160" t="str">
        <f t="shared" si="211"/>
        <v>1+0.865266466071335i</v>
      </c>
      <c r="U362" s="160">
        <f t="shared" si="220"/>
        <v>1.3223789386206877</v>
      </c>
      <c r="V362" s="160">
        <f t="shared" si="221"/>
        <v>0.7132905373379449</v>
      </c>
      <c r="W362" s="98" t="str">
        <f t="shared" si="212"/>
        <v>1-0.122579416026773i</v>
      </c>
      <c r="X362" s="160">
        <f t="shared" si="222"/>
        <v>1.0074848451631742</v>
      </c>
      <c r="Y362" s="160">
        <f t="shared" si="223"/>
        <v>-0.12197094459091005</v>
      </c>
      <c r="Z362" s="98" t="str">
        <f t="shared" si="213"/>
        <v>0.99460567057757+0.257503300302829i</v>
      </c>
      <c r="AA362" s="160">
        <f t="shared" si="224"/>
        <v>1.0273988464135566</v>
      </c>
      <c r="AB362" s="160">
        <f t="shared" si="225"/>
        <v>0.2533373327931952</v>
      </c>
      <c r="AC362" s="171" t="str">
        <f t="shared" si="226"/>
        <v>0.0288853769979086-0.0819829018733131i</v>
      </c>
      <c r="AD362" s="190">
        <f t="shared" si="227"/>
        <v>-21.217332720666281</v>
      </c>
      <c r="AE362" s="169">
        <f t="shared" si="228"/>
        <v>-70.590897965170171</v>
      </c>
      <c r="AF362" s="98" t="str">
        <f t="shared" si="214"/>
        <v>-0.0000673063927557778</v>
      </c>
      <c r="AG362" s="98" t="str">
        <f t="shared" si="215"/>
        <v>0.00174230055608124i</v>
      </c>
      <c r="AH362" s="98">
        <f t="shared" si="229"/>
        <v>1.7423005560812401E-3</v>
      </c>
      <c r="AI362" s="98">
        <f t="shared" si="230"/>
        <v>1.5707963267948966</v>
      </c>
      <c r="AJ362" s="98" t="str">
        <f t="shared" si="216"/>
        <v>1+1.75322168333882i</v>
      </c>
      <c r="AK362" s="98">
        <f t="shared" si="231"/>
        <v>2.0183622744515923</v>
      </c>
      <c r="AL362" s="98">
        <f t="shared" si="232"/>
        <v>1.0524421430847053</v>
      </c>
      <c r="AM362" s="98" t="str">
        <f t="shared" si="217"/>
        <v>1+259.5799398214i</v>
      </c>
      <c r="AN362" s="98">
        <f t="shared" si="233"/>
        <v>259.58186600315832</v>
      </c>
      <c r="AO362" s="98">
        <f t="shared" si="234"/>
        <v>1.5669439680425454</v>
      </c>
      <c r="AP362" s="168" t="str">
        <f t="shared" si="235"/>
        <v>-2.44491024571639+4.32510041553159i</v>
      </c>
      <c r="AQ362" s="98">
        <f t="shared" si="236"/>
        <v>13.924169402424308</v>
      </c>
      <c r="AR362" s="169">
        <f t="shared" si="237"/>
        <v>119.47878312186288</v>
      </c>
      <c r="AS362" s="168" t="str">
        <f t="shared" si="238"/>
        <v>0.283962128785185+0.325372992820066i</v>
      </c>
      <c r="AT362" s="190">
        <f t="shared" si="239"/>
        <v>-7.2931633182419677</v>
      </c>
      <c r="AU362" s="169">
        <f t="shared" si="240"/>
        <v>48.887885156692718</v>
      </c>
      <c r="AV362" s="225"/>
      <c r="AX362">
        <f t="shared" si="241"/>
        <v>0</v>
      </c>
      <c r="AY362">
        <f t="shared" si="242"/>
        <v>0</v>
      </c>
    </row>
    <row r="363" spans="14:51" x14ac:dyDescent="0.25">
      <c r="N363" s="170">
        <v>45</v>
      </c>
      <c r="O363" s="199">
        <f t="shared" si="208"/>
        <v>28183.829312644593</v>
      </c>
      <c r="P363" s="189" t="str">
        <f t="shared" si="209"/>
        <v>87</v>
      </c>
      <c r="Q363" s="160" t="str">
        <f t="shared" si="210"/>
        <v>1+1328.1316667795i</v>
      </c>
      <c r="R363" s="160">
        <f t="shared" si="218"/>
        <v>1328.1320432481452</v>
      </c>
      <c r="S363" s="160">
        <f t="shared" si="219"/>
        <v>1.5700433895402242</v>
      </c>
      <c r="T363" s="160" t="str">
        <f t="shared" si="211"/>
        <v>1+0.88542111118633i</v>
      </c>
      <c r="U363" s="160">
        <f t="shared" si="220"/>
        <v>1.3356536018498342</v>
      </c>
      <c r="V363" s="160">
        <f t="shared" si="221"/>
        <v>0.72470182931480764</v>
      </c>
      <c r="W363" s="98" t="str">
        <f t="shared" si="212"/>
        <v>1-0.125434657418064i</v>
      </c>
      <c r="X363" s="160">
        <f t="shared" si="222"/>
        <v>1.0078362234418781</v>
      </c>
      <c r="Y363" s="160">
        <f t="shared" si="223"/>
        <v>-0.12478294200789369</v>
      </c>
      <c r="Z363" s="98" t="str">
        <f t="shared" si="213"/>
        <v>0.994351443664183+0.263501322689052i</v>
      </c>
      <c r="AA363" s="160">
        <f t="shared" si="224"/>
        <v>1.0286728054031198</v>
      </c>
      <c r="AB363" s="160">
        <f t="shared" si="225"/>
        <v>0.25904402975885271</v>
      </c>
      <c r="AC363" s="171" t="str">
        <f t="shared" si="226"/>
        <v>0.0287181798499655-0.0807667325071231i</v>
      </c>
      <c r="AD363" s="190">
        <f t="shared" si="227"/>
        <v>-21.338309153843174</v>
      </c>
      <c r="AE363" s="169">
        <f t="shared" si="228"/>
        <v>-70.426169193442107</v>
      </c>
      <c r="AF363" s="98" t="str">
        <f t="shared" si="214"/>
        <v>-0.0000673063927557778</v>
      </c>
      <c r="AG363" s="98" t="str">
        <f t="shared" si="215"/>
        <v>0.00178288394948479i</v>
      </c>
      <c r="AH363" s="98">
        <f t="shared" si="229"/>
        <v>1.7828839494847899E-3</v>
      </c>
      <c r="AI363" s="98">
        <f t="shared" si="230"/>
        <v>1.5707963267948966</v>
      </c>
      <c r="AJ363" s="98" t="str">
        <f t="shared" si="216"/>
        <v>1+1.79405946247528i</v>
      </c>
      <c r="AK363" s="98">
        <f t="shared" si="231"/>
        <v>2.0539350902346185</v>
      </c>
      <c r="AL363" s="98">
        <f t="shared" si="232"/>
        <v>1.0622932108261549</v>
      </c>
      <c r="AM363" s="98" t="str">
        <f t="shared" si="217"/>
        <v>1+265.626333355899i</v>
      </c>
      <c r="AN363" s="98">
        <f t="shared" si="233"/>
        <v>265.62821569272188</v>
      </c>
      <c r="AO363" s="98">
        <f t="shared" si="234"/>
        <v>1.5670316575954353</v>
      </c>
      <c r="AP363" s="168" t="str">
        <f t="shared" si="235"/>
        <v>-2.3609551196978+4.27344528846796i</v>
      </c>
      <c r="AQ363" s="98">
        <f t="shared" si="236"/>
        <v>13.772414611351726</v>
      </c>
      <c r="AR363" s="169">
        <f t="shared" si="237"/>
        <v>118.91938275786835</v>
      </c>
      <c r="AS363" s="168" t="str">
        <f t="shared" si="238"/>
        <v>0.277349878752339+0.313412200987166i</v>
      </c>
      <c r="AT363" s="190">
        <f t="shared" si="239"/>
        <v>-7.5658945424914386</v>
      </c>
      <c r="AU363" s="169">
        <f t="shared" si="240"/>
        <v>48.493213564426277</v>
      </c>
      <c r="AV363" s="225"/>
      <c r="AX363">
        <f t="shared" si="241"/>
        <v>0</v>
      </c>
      <c r="AY363">
        <f t="shared" si="242"/>
        <v>0</v>
      </c>
    </row>
    <row r="364" spans="14:51" x14ac:dyDescent="0.25">
      <c r="N364" s="170">
        <v>46</v>
      </c>
      <c r="O364" s="199">
        <f t="shared" si="208"/>
        <v>28840.315031266062</v>
      </c>
      <c r="P364" s="189" t="str">
        <f t="shared" si="209"/>
        <v>87</v>
      </c>
      <c r="Q364" s="160" t="str">
        <f t="shared" si="210"/>
        <v>1+1359.06782744161i</v>
      </c>
      <c r="R364" s="160">
        <f t="shared" si="218"/>
        <v>1359.0681953407848</v>
      </c>
      <c r="S364" s="160">
        <f t="shared" si="219"/>
        <v>1.5700605284783284</v>
      </c>
      <c r="T364" s="160" t="str">
        <f t="shared" si="211"/>
        <v>1+0.906045218294405i</v>
      </c>
      <c r="U364" s="160">
        <f t="shared" si="220"/>
        <v>1.3494139237439919</v>
      </c>
      <c r="V364" s="160">
        <f t="shared" si="221"/>
        <v>0.7361449797400289</v>
      </c>
      <c r="W364" s="98" t="str">
        <f t="shared" si="212"/>
        <v>1-0.128356405925041i</v>
      </c>
      <c r="X364" s="160">
        <f t="shared" si="222"/>
        <v>1.0082040304134843</v>
      </c>
      <c r="Y364" s="160">
        <f t="shared" si="223"/>
        <v>-0.12765838681806518</v>
      </c>
      <c r="Z364" s="98" t="str">
        <f t="shared" si="213"/>
        <v>0.994085235405492+0.269639056964415i</v>
      </c>
      <c r="AA364" s="160">
        <f t="shared" si="224"/>
        <v>1.0300051826529086</v>
      </c>
      <c r="AB364" s="160">
        <f t="shared" si="225"/>
        <v>0.26487038447490202</v>
      </c>
      <c r="AC364" s="171" t="str">
        <f t="shared" si="226"/>
        <v>0.0285441858988597-0.0795898500648324i</v>
      </c>
      <c r="AD364" s="190">
        <f t="shared" si="227"/>
        <v>-21.457355806701486</v>
      </c>
      <c r="AE364" s="169">
        <f t="shared" si="228"/>
        <v>-70.270083345583629</v>
      </c>
      <c r="AF364" s="98" t="str">
        <f t="shared" si="214"/>
        <v>-0.0000673063927557778</v>
      </c>
      <c r="AG364" s="98" t="str">
        <f t="shared" si="215"/>
        <v>0.00182441265155762i</v>
      </c>
      <c r="AH364" s="98">
        <f t="shared" si="229"/>
        <v>1.82441265155762E-3</v>
      </c>
      <c r="AI364" s="98">
        <f t="shared" si="230"/>
        <v>1.5707963267948966</v>
      </c>
      <c r="AJ364" s="98" t="str">
        <f t="shared" si="216"/>
        <v>1+1.83584847568592i</v>
      </c>
      <c r="AK364" s="98">
        <f t="shared" si="231"/>
        <v>2.0905357269557281</v>
      </c>
      <c r="AL364" s="98">
        <f t="shared" si="232"/>
        <v>1.0720257164557949</v>
      </c>
      <c r="AM364" s="98" t="str">
        <f t="shared" si="217"/>
        <v>1+271.813565488321i</v>
      </c>
      <c r="AN364" s="98">
        <f t="shared" si="233"/>
        <v>271.81540497822004</v>
      </c>
      <c r="AO364" s="98">
        <f t="shared" si="234"/>
        <v>1.5671173511463532</v>
      </c>
      <c r="AP364" s="168" t="str">
        <f t="shared" si="235"/>
        <v>-2.27900864594892+4.22080663710551i</v>
      </c>
      <c r="AQ364" s="98">
        <f t="shared" si="236"/>
        <v>13.618994254033201</v>
      </c>
      <c r="AR364" s="169">
        <f t="shared" si="237"/>
        <v>118.36666114000175</v>
      </c>
      <c r="AS364" s="168" t="str">
        <f t="shared" si="238"/>
        <v>0.270880920944802+0.301865445720212i</v>
      </c>
      <c r="AT364" s="190">
        <f t="shared" si="239"/>
        <v>-7.8383615526682835</v>
      </c>
      <c r="AU364" s="169">
        <f t="shared" si="240"/>
        <v>48.096577794418202</v>
      </c>
      <c r="AV364" s="225"/>
      <c r="AX364">
        <f t="shared" si="241"/>
        <v>0</v>
      </c>
      <c r="AY364">
        <f t="shared" si="242"/>
        <v>0</v>
      </c>
    </row>
    <row r="365" spans="14:51" x14ac:dyDescent="0.25">
      <c r="N365" s="170">
        <v>47</v>
      </c>
      <c r="O365" s="199">
        <f t="shared" si="208"/>
        <v>29512.092266663854</v>
      </c>
      <c r="P365" s="189" t="str">
        <f t="shared" si="209"/>
        <v>87</v>
      </c>
      <c r="Q365" s="160" t="str">
        <f t="shared" si="210"/>
        <v>1+1390.72458385524i</v>
      </c>
      <c r="R365" s="160">
        <f t="shared" si="218"/>
        <v>1390.7249433800096</v>
      </c>
      <c r="S365" s="160">
        <f t="shared" si="219"/>
        <v>1.5700772772869891</v>
      </c>
      <c r="T365" s="160" t="str">
        <f t="shared" si="211"/>
        <v>1+0.927149722570155i</v>
      </c>
      <c r="U365" s="160">
        <f t="shared" si="220"/>
        <v>1.3636739375898901</v>
      </c>
      <c r="V365" s="160">
        <f t="shared" si="221"/>
        <v>0.74761406943655306</v>
      </c>
      <c r="W365" s="98" t="str">
        <f t="shared" si="212"/>
        <v>1-0.131346210697439i</v>
      </c>
      <c r="X365" s="160">
        <f t="shared" si="222"/>
        <v>1.0085890278327323</v>
      </c>
      <c r="Y365" s="160">
        <f t="shared" si="223"/>
        <v>-0.13059861332129966</v>
      </c>
      <c r="Z365" s="98" t="str">
        <f t="shared" si="213"/>
        <v>0.99380648113809+0.275919757436878i</v>
      </c>
      <c r="AA365" s="160">
        <f t="shared" si="224"/>
        <v>1.0313985817791773</v>
      </c>
      <c r="AB365" s="160">
        <f t="shared" si="225"/>
        <v>0.27081830783410915</v>
      </c>
      <c r="AC365" s="171" t="str">
        <f t="shared" si="226"/>
        <v>0.0283631417116485-0.0784514066861331i</v>
      </c>
      <c r="AD365" s="190">
        <f t="shared" si="227"/>
        <v>-21.574474832780961</v>
      </c>
      <c r="AE365" s="169">
        <f t="shared" si="228"/>
        <v>-70.123166021961595</v>
      </c>
      <c r="AF365" s="98" t="str">
        <f t="shared" si="214"/>
        <v>-0.0000673063927557778</v>
      </c>
      <c r="AG365" s="98" t="str">
        <f t="shared" si="215"/>
        <v>0.00186690868136726i</v>
      </c>
      <c r="AH365" s="98">
        <f t="shared" si="229"/>
        <v>1.8669086813672599E-3</v>
      </c>
      <c r="AI365" s="98">
        <f t="shared" si="230"/>
        <v>1.5707963267948966</v>
      </c>
      <c r="AJ365" s="98" t="str">
        <f t="shared" si="216"/>
        <v>1+1.87861088005872i</v>
      </c>
      <c r="AK365" s="98">
        <f t="shared" si="231"/>
        <v>2.1281867490131119</v>
      </c>
      <c r="AL365" s="98">
        <f t="shared" si="232"/>
        <v>1.081637444501045</v>
      </c>
      <c r="AM365" s="98" t="str">
        <f t="shared" si="217"/>
        <v>1+278.144916771046i</v>
      </c>
      <c r="AN365" s="98">
        <f t="shared" si="233"/>
        <v>278.14671438931668</v>
      </c>
      <c r="AO365" s="98">
        <f t="shared" si="234"/>
        <v>1.5672010941261167</v>
      </c>
      <c r="AP365" s="168" t="str">
        <f t="shared" si="235"/>
        <v>-2.19908335427264+4.16727423740184i</v>
      </c>
      <c r="AQ365" s="98">
        <f t="shared" si="236"/>
        <v>13.463948792788123</v>
      </c>
      <c r="AR365" s="169">
        <f t="shared" si="237"/>
        <v>117.82074780848561</v>
      </c>
      <c r="AS365" s="168" t="str">
        <f t="shared" si="238"/>
        <v>0.264555613158095+0.290718172309479i</v>
      </c>
      <c r="AT365" s="190">
        <f t="shared" si="239"/>
        <v>-8.1105260399928341</v>
      </c>
      <c r="AU365" s="169">
        <f t="shared" si="240"/>
        <v>47.697581786523997</v>
      </c>
      <c r="AV365" s="225"/>
      <c r="AX365">
        <f t="shared" si="241"/>
        <v>0</v>
      </c>
      <c r="AY365">
        <f t="shared" si="242"/>
        <v>0</v>
      </c>
    </row>
    <row r="366" spans="14:51" x14ac:dyDescent="0.25">
      <c r="N366" s="170">
        <v>48</v>
      </c>
      <c r="O366" s="199">
        <f t="shared" si="208"/>
        <v>30199.517204020212</v>
      </c>
      <c r="P366" s="189" t="str">
        <f t="shared" si="209"/>
        <v>87</v>
      </c>
      <c r="Q366" s="160" t="str">
        <f t="shared" si="210"/>
        <v>1+1423.11872085163i</v>
      </c>
      <c r="R366" s="160">
        <f t="shared" si="218"/>
        <v>1423.1190721926187</v>
      </c>
      <c r="S366" s="160">
        <f t="shared" si="219"/>
        <v>1.570093644846609</v>
      </c>
      <c r="T366" s="160" t="str">
        <f t="shared" si="211"/>
        <v>1+0.948745813901085i</v>
      </c>
      <c r="U366" s="160">
        <f t="shared" si="220"/>
        <v>1.3784479023143501</v>
      </c>
      <c r="V366" s="160">
        <f t="shared" si="221"/>
        <v>0.75910311131887509</v>
      </c>
      <c r="W366" s="98" t="str">
        <f t="shared" si="212"/>
        <v>1-0.134405656969321i</v>
      </c>
      <c r="X366" s="160">
        <f t="shared" si="222"/>
        <v>1.0089920121712335</v>
      </c>
      <c r="Y366" s="160">
        <f t="shared" si="223"/>
        <v>-0.1336049770121181</v>
      </c>
      <c r="Z366" s="98" t="str">
        <f t="shared" si="213"/>
        <v>0.993514589586802+0.282346754216963i</v>
      </c>
      <c r="AA366" s="160">
        <f t="shared" si="224"/>
        <v>1.0328557156441001</v>
      </c>
      <c r="AB366" s="160">
        <f t="shared" si="225"/>
        <v>0.27688970079316294</v>
      </c>
      <c r="AC366" s="171" t="str">
        <f t="shared" si="226"/>
        <v>0.028174788733983-0.0773505620850339i</v>
      </c>
      <c r="AD366" s="190">
        <f t="shared" si="227"/>
        <v>-21.689671171833147</v>
      </c>
      <c r="AE366" s="169">
        <f t="shared" si="228"/>
        <v>-69.98594734702715</v>
      </c>
      <c r="AF366" s="98" t="str">
        <f t="shared" si="214"/>
        <v>-0.0000673063927557778</v>
      </c>
      <c r="AG366" s="98" t="str">
        <f t="shared" si="215"/>
        <v>0.00191039457087122i</v>
      </c>
      <c r="AH366" s="98">
        <f t="shared" si="229"/>
        <v>1.91039457087122E-3</v>
      </c>
      <c r="AI366" s="98">
        <f t="shared" si="230"/>
        <v>1.5707963267948966</v>
      </c>
      <c r="AJ366" s="98" t="str">
        <f t="shared" si="216"/>
        <v>1+1.92236934878647i</v>
      </c>
      <c r="AK366" s="98">
        <f t="shared" si="231"/>
        <v>2.1669111456526582</v>
      </c>
      <c r="AL366" s="98">
        <f t="shared" si="232"/>
        <v>1.0911263865686764</v>
      </c>
      <c r="AM366" s="98" t="str">
        <f t="shared" si="217"/>
        <v>1+284.623744170325i</v>
      </c>
      <c r="AN366" s="98">
        <f t="shared" si="233"/>
        <v>284.6255008700636</v>
      </c>
      <c r="AO366" s="98">
        <f t="shared" si="234"/>
        <v>1.5672829309316618</v>
      </c>
      <c r="AP366" s="168" t="str">
        <f t="shared" si="235"/>
        <v>-2.12118698586377+4.11293651554085i</v>
      </c>
      <c r="AQ366" s="98">
        <f t="shared" si="236"/>
        <v>13.307318893384657</v>
      </c>
      <c r="AR366" s="169">
        <f t="shared" si="237"/>
        <v>117.28176037953276</v>
      </c>
      <c r="AS366" s="168" t="str">
        <f t="shared" si="238"/>
        <v>0.25837395610516+0.279956123045669i</v>
      </c>
      <c r="AT366" s="190">
        <f t="shared" si="239"/>
        <v>-8.3823522784484865</v>
      </c>
      <c r="AU366" s="169">
        <f t="shared" si="240"/>
        <v>47.295813032505578</v>
      </c>
      <c r="AV366" s="225"/>
      <c r="AX366">
        <f t="shared" si="241"/>
        <v>0</v>
      </c>
      <c r="AY366">
        <f t="shared" si="242"/>
        <v>0</v>
      </c>
    </row>
    <row r="367" spans="14:51" x14ac:dyDescent="0.25">
      <c r="N367" s="170">
        <v>49</v>
      </c>
      <c r="O367" s="199">
        <f t="shared" si="208"/>
        <v>30902.954325135954</v>
      </c>
      <c r="P367" s="189" t="str">
        <f t="shared" si="209"/>
        <v>87</v>
      </c>
      <c r="Q367" s="160" t="str">
        <f t="shared" si="210"/>
        <v>1+1456.26741423102i</v>
      </c>
      <c r="R367" s="160">
        <f t="shared" si="218"/>
        <v>1456.2677575745131</v>
      </c>
      <c r="S367" s="160">
        <f t="shared" si="219"/>
        <v>1.5701096398354495</v>
      </c>
      <c r="T367" s="160" t="str">
        <f t="shared" si="211"/>
        <v>1+0.97084494282068i</v>
      </c>
      <c r="U367" s="160">
        <f t="shared" si="220"/>
        <v>1.3937503015248067</v>
      </c>
      <c r="V367" s="160">
        <f t="shared" si="221"/>
        <v>0.77060606581553648</v>
      </c>
      <c r="W367" s="98" t="str">
        <f t="shared" si="212"/>
        <v>1-0.137536366899597i</v>
      </c>
      <c r="X367" s="160">
        <f t="shared" si="222"/>
        <v>1.0094138161427852</v>
      </c>
      <c r="Y367" s="160">
        <f t="shared" si="223"/>
        <v>-0.13667885441181674</v>
      </c>
      <c r="Z367" s="98" t="str">
        <f t="shared" si="213"/>
        <v>0.993208941610514+0.288923454983434i</v>
      </c>
      <c r="AA367" s="160">
        <f t="shared" si="224"/>
        <v>1.0343794103396691</v>
      </c>
      <c r="AB367" s="160">
        <f t="shared" si="225"/>
        <v>0.28308645114724851</v>
      </c>
      <c r="AC367" s="171" t="str">
        <f t="shared" si="226"/>
        <v>0.0279788635146003-0.0762864825254426i</v>
      </c>
      <c r="AD367" s="190">
        <f t="shared" si="227"/>
        <v>-21.802952592146273</v>
      </c>
      <c r="AE367" s="169">
        <f t="shared" si="228"/>
        <v>-69.858960891520084</v>
      </c>
      <c r="AF367" s="98" t="str">
        <f t="shared" si="214"/>
        <v>-0.0000673063927557778</v>
      </c>
      <c r="AG367" s="98" t="str">
        <f t="shared" si="215"/>
        <v>0.00195489337686372i</v>
      </c>
      <c r="AH367" s="98">
        <f t="shared" si="229"/>
        <v>1.95489337686372E-3</v>
      </c>
      <c r="AI367" s="98">
        <f t="shared" si="230"/>
        <v>1.5707963267948966</v>
      </c>
      <c r="AJ367" s="98" t="str">
        <f t="shared" si="216"/>
        <v>1+1.9671470831885i</v>
      </c>
      <c r="AK367" s="98">
        <f t="shared" si="231"/>
        <v>2.2067323460032537</v>
      </c>
      <c r="AL367" s="98">
        <f t="shared" si="232"/>
        <v>1.1004907378966611</v>
      </c>
      <c r="AM367" s="98" t="str">
        <f t="shared" si="217"/>
        <v>1+291.253482846204i</v>
      </c>
      <c r="AN367" s="98">
        <f t="shared" si="233"/>
        <v>291.2551995588131</v>
      </c>
      <c r="AO367" s="98">
        <f t="shared" si="234"/>
        <v>1.5673629049495581</v>
      </c>
      <c r="AP367" s="168" t="str">
        <f t="shared" si="235"/>
        <v>-2.04532270266959+4.05788028886788i</v>
      </c>
      <c r="AQ367" s="98">
        <f t="shared" si="236"/>
        <v>13.149145330951166</v>
      </c>
      <c r="AR367" s="169">
        <f t="shared" si="237"/>
        <v>116.74980474425769</v>
      </c>
      <c r="AS367" s="168" t="str">
        <f t="shared" si="238"/>
        <v>0.252335609005752+0.269565353376916i</v>
      </c>
      <c r="AT367" s="190">
        <f t="shared" si="239"/>
        <v>-8.653807261195098</v>
      </c>
      <c r="AU367" s="169">
        <f t="shared" si="240"/>
        <v>46.890843852737561</v>
      </c>
      <c r="AV367" s="225"/>
      <c r="AX367">
        <f t="shared" si="241"/>
        <v>0</v>
      </c>
      <c r="AY367">
        <f t="shared" si="242"/>
        <v>0</v>
      </c>
    </row>
    <row r="368" spans="14:51" x14ac:dyDescent="0.25">
      <c r="N368" s="170">
        <v>50</v>
      </c>
      <c r="O368" s="199">
        <f t="shared" si="208"/>
        <v>31622.77660168384</v>
      </c>
      <c r="P368" s="189" t="str">
        <f t="shared" si="209"/>
        <v>87</v>
      </c>
      <c r="Q368" s="160" t="str">
        <f t="shared" si="210"/>
        <v>1+1490.18823986942i</v>
      </c>
      <c r="R368" s="160">
        <f t="shared" si="218"/>
        <v>1490.188575397463</v>
      </c>
      <c r="S368" s="160">
        <f t="shared" si="219"/>
        <v>1.5701252707342326</v>
      </c>
      <c r="T368" s="160" t="str">
        <f t="shared" si="211"/>
        <v>1+0.99345882657961i</v>
      </c>
      <c r="U368" s="160">
        <f t="shared" si="220"/>
        <v>1.4095958428247921</v>
      </c>
      <c r="V368" s="160">
        <f t="shared" si="221"/>
        <v>0.78211685662705388</v>
      </c>
      <c r="W368" s="98" t="str">
        <f t="shared" si="212"/>
        <v>1-0.140740000432112i</v>
      </c>
      <c r="X368" s="160">
        <f t="shared" si="222"/>
        <v>1.0098553102903558</v>
      </c>
      <c r="Y368" s="160">
        <f t="shared" si="223"/>
        <v>-0.13982164285466908</v>
      </c>
      <c r="Z368" s="98" t="str">
        <f t="shared" si="213"/>
        <v>0.992888888888889+0.295653346790092i</v>
      </c>
      <c r="AA368" s="160">
        <f t="shared" si="224"/>
        <v>1.0359726092649337</v>
      </c>
      <c r="AB368" s="160">
        <f t="shared" si="225"/>
        <v>0.28941043010874051</v>
      </c>
      <c r="AC368" s="171" t="str">
        <f t="shared" si="226"/>
        <v>0.0277750979716557-0.0752583397915792i</v>
      </c>
      <c r="AD368" s="190">
        <f t="shared" si="227"/>
        <v>-21.914329721988544</v>
      </c>
      <c r="AE368" s="169">
        <f t="shared" si="228"/>
        <v>-69.742742561593332</v>
      </c>
      <c r="AF368" s="98" t="str">
        <f t="shared" si="214"/>
        <v>-0.0000673063927557778</v>
      </c>
      <c r="AG368" s="98" t="str">
        <f t="shared" si="215"/>
        <v>0.00200042869320071i</v>
      </c>
      <c r="AH368" s="98">
        <f t="shared" si="229"/>
        <v>2.0004286932007102E-3</v>
      </c>
      <c r="AI368" s="98">
        <f t="shared" si="230"/>
        <v>1.5707963267948966</v>
      </c>
      <c r="AJ368" s="98" t="str">
        <f t="shared" si="216"/>
        <v>1+2.01296782501232i</v>
      </c>
      <c r="AK368" s="98">
        <f t="shared" si="231"/>
        <v>2.2476742345221719</v>
      </c>
      <c r="AL368" s="98">
        <f t="shared" si="232"/>
        <v>1.1097288933351996</v>
      </c>
      <c r="AM368" s="98" t="str">
        <f t="shared" si="217"/>
        <v>1+298.037647973883i</v>
      </c>
      <c r="AN368" s="98">
        <f t="shared" si="233"/>
        <v>298.03932560956486</v>
      </c>
      <c r="AO368" s="98">
        <f t="shared" si="234"/>
        <v>1.5674410585789949</v>
      </c>
      <c r="AP368" s="168" t="str">
        <f t="shared" si="235"/>
        <v>-1.97148930893617+4.00219053071979i</v>
      </c>
      <c r="AQ368" s="98">
        <f t="shared" si="236"/>
        <v>12.989468900218144</v>
      </c>
      <c r="AR368" s="169">
        <f t="shared" si="237"/>
        <v>116.22497530026395</v>
      </c>
      <c r="AS368" s="168" t="str">
        <f t="shared" si="238"/>
        <v>0.246439906165777+0.259532246399359i</v>
      </c>
      <c r="AT368" s="190">
        <f t="shared" si="239"/>
        <v>-8.9248608217703946</v>
      </c>
      <c r="AU368" s="169">
        <f t="shared" si="240"/>
        <v>46.482232738670625</v>
      </c>
      <c r="AV368" s="225"/>
      <c r="AX368">
        <f t="shared" si="241"/>
        <v>0</v>
      </c>
      <c r="AY368">
        <f t="shared" si="242"/>
        <v>0</v>
      </c>
    </row>
    <row r="369" spans="14:51" x14ac:dyDescent="0.25">
      <c r="N369" s="170">
        <v>51</v>
      </c>
      <c r="O369" s="199">
        <f t="shared" si="208"/>
        <v>32359.365692962871</v>
      </c>
      <c r="P369" s="189" t="str">
        <f t="shared" si="209"/>
        <v>87</v>
      </c>
      <c r="Q369" s="160" t="str">
        <f t="shared" si="210"/>
        <v>1+1524.89918303757i</v>
      </c>
      <c r="R369" s="160">
        <f t="shared" si="218"/>
        <v>1524.8995109280638</v>
      </c>
      <c r="S369" s="160">
        <f t="shared" si="219"/>
        <v>1.5701405458306374</v>
      </c>
      <c r="T369" s="160" t="str">
        <f t="shared" si="211"/>
        <v>1+1.01659945535838i</v>
      </c>
      <c r="U369" s="160">
        <f t="shared" si="220"/>
        <v>1.425999457445533</v>
      </c>
      <c r="V369" s="160">
        <f t="shared" si="221"/>
        <v>0.7936293867198293</v>
      </c>
      <c r="W369" s="98" t="str">
        <f t="shared" si="212"/>
        <v>1-0.14401825617577i</v>
      </c>
      <c r="X369" s="160">
        <f t="shared" si="222"/>
        <v>1.0103174046367358</v>
      </c>
      <c r="Y369" s="160">
        <f t="shared" si="223"/>
        <v>-0.14303476022474543</v>
      </c>
      <c r="Z369" s="98" t="str">
        <f t="shared" si="213"/>
        <v>0.992553752547194+0.302539997914652i</v>
      </c>
      <c r="AA369" s="160">
        <f t="shared" si="224"/>
        <v>1.0376383772941871</v>
      </c>
      <c r="AB369" s="160">
        <f t="shared" si="225"/>
        <v>0.29586348868570539</v>
      </c>
      <c r="AC369" s="171" t="str">
        <f t="shared" si="226"/>
        <v>0.0275632197038402-0.0742653101548115i</v>
      </c>
      <c r="AD369" s="190">
        <f t="shared" si="227"/>
        <v>-22.023816069796229</v>
      </c>
      <c r="AE369" s="169">
        <f t="shared" si="228"/>
        <v>-69.637829460111917</v>
      </c>
      <c r="AF369" s="98" t="str">
        <f t="shared" si="214"/>
        <v>-0.0000673063927557778</v>
      </c>
      <c r="AG369" s="98" t="str">
        <f t="shared" si="215"/>
        <v>0.00204702466330963i</v>
      </c>
      <c r="AH369" s="98">
        <f t="shared" si="229"/>
        <v>2.04702466330963E-3</v>
      </c>
      <c r="AI369" s="98">
        <f t="shared" si="230"/>
        <v>1.5707963267948966</v>
      </c>
      <c r="AJ369" s="98" t="str">
        <f t="shared" si="216"/>
        <v>1+2.05985586902174i</v>
      </c>
      <c r="AK369" s="98">
        <f t="shared" si="231"/>
        <v>2.2897611668345035</v>
      </c>
      <c r="AL369" s="98">
        <f t="shared" si="232"/>
        <v>1.1188394428123336</v>
      </c>
      <c r="AM369" s="98" t="str">
        <f t="shared" si="217"/>
        <v>1+304.979836607512i</v>
      </c>
      <c r="AN369" s="98">
        <f t="shared" si="233"/>
        <v>304.98147605575122</v>
      </c>
      <c r="AO369" s="98">
        <f t="shared" si="234"/>
        <v>1.5675174332542392</v>
      </c>
      <c r="AP369" s="168" t="str">
        <f t="shared" si="235"/>
        <v>-1.89968148244458+3.94595015925055i</v>
      </c>
      <c r="AQ369" s="98">
        <f t="shared" si="236"/>
        <v>12.828330330311786</v>
      </c>
      <c r="AR369" s="169">
        <f t="shared" si="237"/>
        <v>115.70735521273227</v>
      </c>
      <c r="AS369" s="168" t="str">
        <f t="shared" si="238"/>
        <v>0.240685874364233+0.249843525668925i</v>
      </c>
      <c r="AT369" s="190">
        <f t="shared" si="239"/>
        <v>-9.1954857394844449</v>
      </c>
      <c r="AU369" s="169">
        <f t="shared" si="240"/>
        <v>46.069525752620365</v>
      </c>
      <c r="AV369" s="225"/>
      <c r="AX369">
        <f t="shared" si="241"/>
        <v>0</v>
      </c>
      <c r="AY369">
        <f t="shared" si="242"/>
        <v>0</v>
      </c>
    </row>
    <row r="370" spans="14:51" x14ac:dyDescent="0.25">
      <c r="N370" s="170">
        <v>52</v>
      </c>
      <c r="O370" s="199">
        <f t="shared" si="208"/>
        <v>33113.11214825909</v>
      </c>
      <c r="P370" s="189" t="str">
        <f t="shared" si="209"/>
        <v>87</v>
      </c>
      <c r="Q370" s="160" t="str">
        <f t="shared" si="210"/>
        <v>1+1560.41864793699i</v>
      </c>
      <c r="R370" s="160">
        <f t="shared" si="218"/>
        <v>1560.4189683637867</v>
      </c>
      <c r="S370" s="160">
        <f t="shared" si="219"/>
        <v>1.5701554732236935</v>
      </c>
      <c r="T370" s="160" t="str">
        <f t="shared" si="211"/>
        <v>1+1.04027909862466i</v>
      </c>
      <c r="U370" s="160">
        <f t="shared" si="220"/>
        <v>1.4429763002334219</v>
      </c>
      <c r="V370" s="160">
        <f t="shared" si="221"/>
        <v>0.80513755445369706</v>
      </c>
      <c r="W370" s="98" t="str">
        <f t="shared" si="212"/>
        <v>1-0.14737287230516i</v>
      </c>
      <c r="X370" s="160">
        <f t="shared" si="222"/>
        <v>1.0108010504008555</v>
      </c>
      <c r="Y370" s="160">
        <f t="shared" si="223"/>
        <v>-0.14631964463969854</v>
      </c>
      <c r="Z370" s="98" t="str">
        <f t="shared" si="213"/>
        <v>0.992202821716315+0.309587059750697i</v>
      </c>
      <c r="AA370" s="160">
        <f t="shared" si="224"/>
        <v>1.0393799050332362</v>
      </c>
      <c r="AB370" s="160">
        <f t="shared" si="225"/>
        <v>0.30244745385654326</v>
      </c>
      <c r="AC370" s="171" t="str">
        <f t="shared" si="226"/>
        <v>0.02734295234927-0.073306573338829i</v>
      </c>
      <c r="AD370" s="190">
        <f t="shared" si="227"/>
        <v>-22.131428032814391</v>
      </c>
      <c r="AE370" s="169">
        <f t="shared" si="228"/>
        <v>-69.544758725569082</v>
      </c>
      <c r="AF370" s="98" t="str">
        <f t="shared" si="214"/>
        <v>-0.0000673063927557778</v>
      </c>
      <c r="AG370" s="98" t="str">
        <f t="shared" si="215"/>
        <v>0.00209470599299061i</v>
      </c>
      <c r="AH370" s="98">
        <f t="shared" si="229"/>
        <v>2.09470599299061E-3</v>
      </c>
      <c r="AI370" s="98">
        <f t="shared" si="230"/>
        <v>1.5707963267948966</v>
      </c>
      <c r="AJ370" s="98" t="str">
        <f t="shared" si="216"/>
        <v>1+2.10783607587832i</v>
      </c>
      <c r="AK370" s="98">
        <f t="shared" si="231"/>
        <v>2.3330179859516975</v>
      </c>
      <c r="AL370" s="98">
        <f t="shared" si="232"/>
        <v>1.1278211663395201</v>
      </c>
      <c r="AM370" s="98" t="str">
        <f t="shared" si="217"/>
        <v>1+312.083729587396i</v>
      </c>
      <c r="AN370" s="98">
        <f t="shared" si="233"/>
        <v>312.08533171743096</v>
      </c>
      <c r="AO370" s="98">
        <f t="shared" si="234"/>
        <v>1.567592069466589</v>
      </c>
      <c r="AP370" s="168" t="str">
        <f t="shared" si="235"/>
        <v>-1.82989001304414+3.88923985010739i</v>
      </c>
      <c r="AQ370" s="98">
        <f t="shared" si="236"/>
        <v>12.665770204267286</v>
      </c>
      <c r="AR370" s="169">
        <f t="shared" si="237"/>
        <v>115.1970167018376</v>
      </c>
      <c r="AS370" s="168" t="str">
        <f t="shared" si="238"/>
        <v>0.235072250873123+0.240486266339579i</v>
      </c>
      <c r="AT370" s="190">
        <f t="shared" si="239"/>
        <v>-9.4656578285471085</v>
      </c>
      <c r="AU370" s="169">
        <f t="shared" si="240"/>
        <v>45.65225797626843</v>
      </c>
      <c r="AV370" s="225"/>
      <c r="AX370">
        <f t="shared" si="241"/>
        <v>0</v>
      </c>
      <c r="AY370">
        <f t="shared" si="242"/>
        <v>0</v>
      </c>
    </row>
    <row r="371" spans="14:51" x14ac:dyDescent="0.25">
      <c r="N371" s="170">
        <v>53</v>
      </c>
      <c r="O371" s="199">
        <f t="shared" si="208"/>
        <v>33884.41561392029</v>
      </c>
      <c r="P371" s="189" t="str">
        <f t="shared" si="209"/>
        <v>87</v>
      </c>
      <c r="Q371" s="160" t="str">
        <f t="shared" si="210"/>
        <v>1+1596.76546745814i</v>
      </c>
      <c r="R371" s="160">
        <f t="shared" si="218"/>
        <v>1596.7657805911335</v>
      </c>
      <c r="S371" s="160">
        <f t="shared" si="219"/>
        <v>1.570170060828076</v>
      </c>
      <c r="T371" s="160" t="str">
        <f t="shared" si="211"/>
        <v>1+1.06451031163875i</v>
      </c>
      <c r="U371" s="160">
        <f t="shared" si="220"/>
        <v>1.4605417500315518</v>
      </c>
      <c r="V371" s="160">
        <f t="shared" si="221"/>
        <v>0.81663526973923328</v>
      </c>
      <c r="W371" s="98" t="str">
        <f t="shared" si="212"/>
        <v>1-0.150805627482157i</v>
      </c>
      <c r="X371" s="160">
        <f t="shared" si="222"/>
        <v>1.0113072417817877</v>
      </c>
      <c r="Y371" s="160">
        <f t="shared" si="223"/>
        <v>-0.14967775407767117</v>
      </c>
      <c r="Z371" s="98" t="str">
        <f t="shared" si="213"/>
        <v>0.991835352024911+0.316798268743694i</v>
      </c>
      <c r="AA371" s="160">
        <f t="shared" si="224"/>
        <v>1.0412005131603523</v>
      </c>
      <c r="AB371" s="160">
        <f t="shared" si="225"/>
        <v>0.30916412453780778</v>
      </c>
      <c r="AC371" s="171" t="str">
        <f t="shared" si="226"/>
        <v>0.0271140159951628-0.0723813114854295i</v>
      </c>
      <c r="AD371" s="190">
        <f t="shared" si="227"/>
        <v>-22.237184893980956</v>
      </c>
      <c r="AE371" s="169">
        <f t="shared" si="228"/>
        <v>-69.464066354183842</v>
      </c>
      <c r="AF371" s="98" t="str">
        <f t="shared" si="214"/>
        <v>-0.0000673063927557778</v>
      </c>
      <c r="AG371" s="98" t="str">
        <f t="shared" si="215"/>
        <v>0.00214349796351579i</v>
      </c>
      <c r="AH371" s="98">
        <f t="shared" si="229"/>
        <v>2.14349796351579E-3</v>
      </c>
      <c r="AI371" s="98">
        <f t="shared" si="230"/>
        <v>1.5707963267948966</v>
      </c>
      <c r="AJ371" s="98" t="str">
        <f t="shared" si="216"/>
        <v>1+2.15693388532286i</v>
      </c>
      <c r="AK371" s="98">
        <f t="shared" si="231"/>
        <v>2.3774700388551624</v>
      </c>
      <c r="AL371" s="98">
        <f t="shared" si="232"/>
        <v>1.1366730286118845</v>
      </c>
      <c r="AM371" s="98" t="str">
        <f t="shared" si="217"/>
        <v>1+319.353093491626i</v>
      </c>
      <c r="AN371" s="98">
        <f t="shared" si="233"/>
        <v>319.35465915290979</v>
      </c>
      <c r="AO371" s="98">
        <f t="shared" si="234"/>
        <v>1.5676650067858242</v>
      </c>
      <c r="AP371" s="168" t="str">
        <f t="shared" si="235"/>
        <v>-1.7621020462153+3.83213787259483i</v>
      </c>
      <c r="AQ371" s="98">
        <f t="shared" si="236"/>
        <v>12.501828883387375</v>
      </c>
      <c r="AR371" s="169">
        <f t="shared" si="237"/>
        <v>114.69402135336129</v>
      </c>
      <c r="AS371" s="168" t="str">
        <f t="shared" si="238"/>
        <v>0.229597501945207+0.231447904649428i</v>
      </c>
      <c r="AT371" s="190">
        <f t="shared" si="239"/>
        <v>-9.7353560105935735</v>
      </c>
      <c r="AU371" s="169">
        <f t="shared" si="240"/>
        <v>45.229954999177465</v>
      </c>
      <c r="AV371" s="225"/>
      <c r="AX371">
        <f t="shared" si="241"/>
        <v>0</v>
      </c>
      <c r="AY371">
        <f t="shared" si="242"/>
        <v>0</v>
      </c>
    </row>
    <row r="372" spans="14:51" x14ac:dyDescent="0.25">
      <c r="N372" s="170">
        <v>54</v>
      </c>
      <c r="O372" s="199">
        <f t="shared" si="208"/>
        <v>34673.685045253202</v>
      </c>
      <c r="P372" s="189" t="str">
        <f t="shared" si="209"/>
        <v>87</v>
      </c>
      <c r="Q372" s="160" t="str">
        <f t="shared" si="210"/>
        <v>1+1633.95891316581i</v>
      </c>
      <c r="R372" s="160">
        <f t="shared" si="218"/>
        <v>1633.9592191710278</v>
      </c>
      <c r="S372" s="160">
        <f t="shared" si="219"/>
        <v>1.5701843163783005</v>
      </c>
      <c r="T372" s="160" t="str">
        <f t="shared" si="211"/>
        <v>1+1.08930594211053i</v>
      </c>
      <c r="U372" s="160">
        <f t="shared" si="220"/>
        <v>1.478711410491347</v>
      </c>
      <c r="V372" s="160">
        <f t="shared" si="221"/>
        <v>0.82811647012050926</v>
      </c>
      <c r="W372" s="98" t="str">
        <f t="shared" si="212"/>
        <v>1-0.154318341798993i</v>
      </c>
      <c r="X372" s="160">
        <f t="shared" si="222"/>
        <v>1.0118370178124494</v>
      </c>
      <c r="Y372" s="160">
        <f t="shared" si="223"/>
        <v>-0.15311056594329867</v>
      </c>
      <c r="Z372" s="98" t="str">
        <f t="shared" si="213"/>
        <v>0.991450564020498+0.324177448372095i</v>
      </c>
      <c r="AA372" s="160">
        <f t="shared" si="224"/>
        <v>1.0431036568479695</v>
      </c>
      <c r="AB372" s="160">
        <f t="shared" si="225"/>
        <v>0.31601526734310742</v>
      </c>
      <c r="AC372" s="171" t="str">
        <f t="shared" si="226"/>
        <v>0.0268761276413005-0.0714887081235408i</v>
      </c>
      <c r="AD372" s="190">
        <f t="shared" si="227"/>
        <v>-22.34110880693235</v>
      </c>
      <c r="AE372" s="169">
        <f t="shared" si="228"/>
        <v>-69.396286010803237</v>
      </c>
      <c r="AF372" s="98" t="str">
        <f t="shared" si="214"/>
        <v>-0.0000673063927557778</v>
      </c>
      <c r="AG372" s="98" t="str">
        <f t="shared" si="215"/>
        <v>0.00219342644503378i</v>
      </c>
      <c r="AH372" s="98">
        <f t="shared" si="229"/>
        <v>2.1934264450337798E-3</v>
      </c>
      <c r="AI372" s="98">
        <f t="shared" si="230"/>
        <v>1.5707963267948966</v>
      </c>
      <c r="AJ372" s="98" t="str">
        <f t="shared" si="216"/>
        <v>1+2.20717532966378i</v>
      </c>
      <c r="AK372" s="98">
        <f t="shared" si="231"/>
        <v>2.423143193432121</v>
      </c>
      <c r="AL372" s="98">
        <f t="shared" si="232"/>
        <v>1.14539417325681</v>
      </c>
      <c r="AM372" s="98" t="str">
        <f t="shared" si="217"/>
        <v>1+326.79178263316i</v>
      </c>
      <c r="AN372" s="98">
        <f t="shared" si="233"/>
        <v>326.79331265581072</v>
      </c>
      <c r="AO372" s="98">
        <f t="shared" si="234"/>
        <v>1.5677362838811706</v>
      </c>
      <c r="AP372" s="168" t="str">
        <f t="shared" si="235"/>
        <v>-1.69630132953477+3.77471994876748i</v>
      </c>
      <c r="AQ372" s="98">
        <f t="shared" si="236"/>
        <v>12.336546436524429</v>
      </c>
      <c r="AR372" s="169">
        <f t="shared" si="237"/>
        <v>114.19842044942314</v>
      </c>
      <c r="AS372" s="168" t="str">
        <f t="shared" si="238"/>
        <v>0.224259841614861+0.222716245789923i</v>
      </c>
      <c r="AT372" s="190">
        <f t="shared" si="239"/>
        <v>-10.00456237040793</v>
      </c>
      <c r="AU372" s="169">
        <f t="shared" si="240"/>
        <v>44.802134438619845</v>
      </c>
      <c r="AV372" s="225"/>
      <c r="AX372">
        <f t="shared" si="241"/>
        <v>0</v>
      </c>
      <c r="AY372">
        <f t="shared" si="242"/>
        <v>0</v>
      </c>
    </row>
    <row r="373" spans="14:51" x14ac:dyDescent="0.25">
      <c r="N373" s="170">
        <v>55</v>
      </c>
      <c r="O373" s="199">
        <f t="shared" si="208"/>
        <v>35481.33892335758</v>
      </c>
      <c r="P373" s="189" t="str">
        <f t="shared" si="209"/>
        <v>87</v>
      </c>
      <c r="Q373" s="160" t="str">
        <f t="shared" si="210"/>
        <v>1+1672.01870551725i</v>
      </c>
      <c r="R373" s="160">
        <f t="shared" si="218"/>
        <v>1672.01900455694</v>
      </c>
      <c r="S373" s="160">
        <f t="shared" si="219"/>
        <v>1.5701982474328253</v>
      </c>
      <c r="T373" s="160" t="str">
        <f t="shared" si="211"/>
        <v>1+1.1146791370115i</v>
      </c>
      <c r="U373" s="160">
        <f t="shared" si="220"/>
        <v>1.497501111348069</v>
      </c>
      <c r="V373" s="160">
        <f t="shared" si="221"/>
        <v>0.83957513667994466</v>
      </c>
      <c r="W373" s="98" t="str">
        <f t="shared" si="212"/>
        <v>1-0.157912877743296i</v>
      </c>
      <c r="X373" s="160">
        <f t="shared" si="222"/>
        <v>1.0123914642850211</v>
      </c>
      <c r="Y373" s="160">
        <f t="shared" si="223"/>
        <v>-0.15661957656857547</v>
      </c>
      <c r="Z373" s="98" t="str">
        <f t="shared" si="213"/>
        <v>0.99104764151613+0.331728511174622i</v>
      </c>
      <c r="AA373" s="160">
        <f t="shared" si="224"/>
        <v>1.0450929302606613</v>
      </c>
      <c r="AB373" s="160">
        <f t="shared" si="225"/>
        <v>0.32300261213200671</v>
      </c>
      <c r="AC373" s="171" t="str">
        <f t="shared" si="226"/>
        <v>0.0266290017202347-0.0706279471444887i</v>
      </c>
      <c r="AD373" s="190">
        <f t="shared" si="227"/>
        <v>-22.443224769095067</v>
      </c>
      <c r="AE373" s="169">
        <f t="shared" si="228"/>
        <v>-69.341947834229828</v>
      </c>
      <c r="AF373" s="98" t="str">
        <f t="shared" si="214"/>
        <v>-0.0000673063927557778</v>
      </c>
      <c r="AG373" s="98" t="str">
        <f t="shared" si="215"/>
        <v>0.00224451791028635i</v>
      </c>
      <c r="AH373" s="98">
        <f t="shared" si="229"/>
        <v>2.2445179102863499E-3</v>
      </c>
      <c r="AI373" s="98">
        <f t="shared" si="230"/>
        <v>1.5707963267948966</v>
      </c>
      <c r="AJ373" s="98" t="str">
        <f t="shared" si="216"/>
        <v>1+2.25858704757992i</v>
      </c>
      <c r="AK373" s="98">
        <f t="shared" si="231"/>
        <v>2.4700638557526764</v>
      </c>
      <c r="AL373" s="98">
        <f t="shared" si="232"/>
        <v>1.1539839167831136</v>
      </c>
      <c r="AM373" s="98" t="str">
        <f t="shared" si="217"/>
        <v>1+334.40374110345i</v>
      </c>
      <c r="AN373" s="98">
        <f t="shared" si="233"/>
        <v>334.40523629869074</v>
      </c>
      <c r="AO373" s="98">
        <f t="shared" si="234"/>
        <v>1.5678059385417893</v>
      </c>
      <c r="AP373" s="168" t="str">
        <f t="shared" si="235"/>
        <v>-1.63246846006926+3.7170591347234i</v>
      </c>
      <c r="AQ373" s="98">
        <f t="shared" si="236"/>
        <v>12.169962574324828</v>
      </c>
      <c r="AR373" s="169">
        <f t="shared" si="237"/>
        <v>113.71025531634298</v>
      </c>
      <c r="AS373" s="168" t="str">
        <f t="shared" si="238"/>
        <v>0.21905725066877+0.21427947020558i</v>
      </c>
      <c r="AT373" s="190">
        <f t="shared" si="239"/>
        <v>-10.273262194770238</v>
      </c>
      <c r="AU373" s="169">
        <f t="shared" si="240"/>
        <v>44.368307482113153</v>
      </c>
      <c r="AV373" s="225"/>
      <c r="AX373">
        <f t="shared" si="241"/>
        <v>0</v>
      </c>
      <c r="AY373">
        <f t="shared" si="242"/>
        <v>0</v>
      </c>
    </row>
    <row r="374" spans="14:51" x14ac:dyDescent="0.25">
      <c r="N374" s="170">
        <v>56</v>
      </c>
      <c r="O374" s="199">
        <f t="shared" si="208"/>
        <v>36307.805477010232</v>
      </c>
      <c r="P374" s="189" t="str">
        <f t="shared" si="209"/>
        <v>87</v>
      </c>
      <c r="Q374" s="160" t="str">
        <f t="shared" si="210"/>
        <v>1+1710.96502431814i</v>
      </c>
      <c r="R374" s="160">
        <f t="shared" si="218"/>
        <v>1710.9653165508566</v>
      </c>
      <c r="S374" s="160">
        <f t="shared" si="219"/>
        <v>1.5702118613780587</v>
      </c>
      <c r="T374" s="160" t="str">
        <f t="shared" si="211"/>
        <v>1+1.14064334954542i</v>
      </c>
      <c r="U374" s="160">
        <f t="shared" si="220"/>
        <v>1.5169269101911915</v>
      </c>
      <c r="V374" s="160">
        <f t="shared" si="221"/>
        <v>0.85100530966396692</v>
      </c>
      <c r="W374" s="98" t="str">
        <f t="shared" si="212"/>
        <v>1-0.161591141185602i</v>
      </c>
      <c r="X374" s="160">
        <f t="shared" si="222"/>
        <v>1.0129717157500822</v>
      </c>
      <c r="Y374" s="160">
        <f t="shared" si="223"/>
        <v>-0.16020630064415065</v>
      </c>
      <c r="Z374" s="98" t="str">
        <f t="shared" si="213"/>
        <v>0.990625729859154+0.339455460824719i</v>
      </c>
      <c r="AA374" s="160">
        <f t="shared" si="224"/>
        <v>1.0471720711242751</v>
      </c>
      <c r="AB374" s="160">
        <f t="shared" si="225"/>
        <v>0.33012784734882172</v>
      </c>
      <c r="AC374" s="171" t="str">
        <f t="shared" si="226"/>
        <v>0.0263723506771388-0.069798211786949i</v>
      </c>
      <c r="AD374" s="190">
        <f t="shared" si="227"/>
        <v>-22.543560582909045</v>
      </c>
      <c r="AE374" s="169">
        <f t="shared" si="228"/>
        <v>-69.301577242515336</v>
      </c>
      <c r="AF374" s="98" t="str">
        <f t="shared" si="214"/>
        <v>-0.0000673063927557778</v>
      </c>
      <c r="AG374" s="98" t="str">
        <f t="shared" si="215"/>
        <v>0.00229679944864467i</v>
      </c>
      <c r="AH374" s="98">
        <f t="shared" si="229"/>
        <v>2.29679944864467E-3</v>
      </c>
      <c r="AI374" s="98">
        <f t="shared" si="230"/>
        <v>1.5707963267948966</v>
      </c>
      <c r="AJ374" s="98" t="str">
        <f t="shared" si="216"/>
        <v>1+2.3111962982446i</v>
      </c>
      <c r="AK374" s="98">
        <f t="shared" si="231"/>
        <v>2.5182589876777057</v>
      </c>
      <c r="AL374" s="98">
        <f t="shared" si="232"/>
        <v>1.1624417422810531</v>
      </c>
      <c r="AM374" s="98" t="str">
        <f t="shared" si="217"/>
        <v>1+342.193004863627i</v>
      </c>
      <c r="AN374" s="98">
        <f t="shared" si="233"/>
        <v>342.19446602421584</v>
      </c>
      <c r="AO374" s="98">
        <f t="shared" si="234"/>
        <v>1.5678740076967979</v>
      </c>
      <c r="AP374" s="168" t="str">
        <f t="shared" si="235"/>
        <v>-1.57058113088661+3.65922572322433i</v>
      </c>
      <c r="AQ374" s="98">
        <f t="shared" si="236"/>
        <v>12.002116588434774</v>
      </c>
      <c r="AR374" s="169">
        <f t="shared" si="237"/>
        <v>113.22955768675004</v>
      </c>
      <c r="AS374" s="168" t="str">
        <f t="shared" si="238"/>
        <v>0.213987495655225+0.206126138381888i</v>
      </c>
      <c r="AT374" s="190">
        <f t="shared" si="239"/>
        <v>-10.541443994474267</v>
      </c>
      <c r="AU374" s="169">
        <f t="shared" si="240"/>
        <v>43.927980444234592</v>
      </c>
      <c r="AV374" s="225"/>
      <c r="AX374">
        <f t="shared" si="241"/>
        <v>0</v>
      </c>
      <c r="AY374">
        <f t="shared" si="242"/>
        <v>0</v>
      </c>
    </row>
    <row r="375" spans="14:51" x14ac:dyDescent="0.25">
      <c r="N375" s="170">
        <v>57</v>
      </c>
      <c r="O375" s="199">
        <f t="shared" si="208"/>
        <v>37153.522909717351</v>
      </c>
      <c r="P375" s="189" t="str">
        <f t="shared" si="209"/>
        <v>87</v>
      </c>
      <c r="Q375" s="160" t="str">
        <f t="shared" si="210"/>
        <v>1+1750.81851942222i</v>
      </c>
      <c r="R375" s="160">
        <f t="shared" si="218"/>
        <v>1750.8188050029094</v>
      </c>
      <c r="S375" s="160">
        <f t="shared" si="219"/>
        <v>1.5702251654322739</v>
      </c>
      <c r="T375" s="160" t="str">
        <f t="shared" si="211"/>
        <v>1+1.16721234628148i</v>
      </c>
      <c r="U375" s="160">
        <f t="shared" si="220"/>
        <v>1.5370050947579574</v>
      </c>
      <c r="V375" s="160">
        <f t="shared" si="221"/>
        <v>0.86240110373164525</v>
      </c>
      <c r="W375" s="98" t="str">
        <f t="shared" si="212"/>
        <v>1-0.165355082389877i</v>
      </c>
      <c r="X375" s="160">
        <f t="shared" si="222"/>
        <v>1.0135789575914462</v>
      </c>
      <c r="Y375" s="160">
        <f t="shared" si="223"/>
        <v>-0.16387227057643658</v>
      </c>
      <c r="Z375" s="98" t="str">
        <f t="shared" si="213"/>
        <v>0.990183934118379+0.347362394253369i</v>
      </c>
      <c r="AA375" s="160">
        <f t="shared" si="224"/>
        <v>1.0493449653605738</v>
      </c>
      <c r="AB375" s="160">
        <f t="shared" si="225"/>
        <v>0.33739261515260005</v>
      </c>
      <c r="AC375" s="171" t="str">
        <f t="shared" si="226"/>
        <v>0.0261058856120804-0.0689986836354188i</v>
      </c>
      <c r="AD375" s="190">
        <f t="shared" si="227"/>
        <v>-22.642146805314226</v>
      </c>
      <c r="AE375" s="169">
        <f t="shared" si="228"/>
        <v>-69.275693743634804</v>
      </c>
      <c r="AF375" s="98" t="str">
        <f t="shared" si="214"/>
        <v>-0.0000673063927557778</v>
      </c>
      <c r="AG375" s="98" t="str">
        <f t="shared" si="215"/>
        <v>0.00235029878047239i</v>
      </c>
      <c r="AH375" s="98">
        <f t="shared" si="229"/>
        <v>2.3502987804723901E-3</v>
      </c>
      <c r="AI375" s="98">
        <f t="shared" si="230"/>
        <v>1.5707963267948966</v>
      </c>
      <c r="AJ375" s="98" t="str">
        <f t="shared" si="216"/>
        <v>1+2.36503097577892i</v>
      </c>
      <c r="AK375" s="98">
        <f t="shared" si="231"/>
        <v>2.5677561247894607</v>
      </c>
      <c r="AL375" s="98">
        <f t="shared" si="232"/>
        <v>1.1707672929214152</v>
      </c>
      <c r="AM375" s="98" t="str">
        <f t="shared" si="217"/>
        <v>1+350.163703884444i</v>
      </c>
      <c r="AN375" s="98">
        <f t="shared" si="233"/>
        <v>350.16513178509445</v>
      </c>
      <c r="AO375" s="98">
        <f t="shared" si="234"/>
        <v>1.5679405274348392</v>
      </c>
      <c r="AP375" s="168" t="str">
        <f t="shared" si="235"/>
        <v>-1.51061437504157+3.60128716665009i</v>
      </c>
      <c r="AQ375" s="98">
        <f t="shared" si="236"/>
        <v>11.833047295634726</v>
      </c>
      <c r="AR375" s="169">
        <f t="shared" si="237"/>
        <v>112.75635007317889</v>
      </c>
      <c r="AS375" s="168" t="str">
        <f t="shared" si="238"/>
        <v>0.209048147813184+0.19824519418743i</v>
      </c>
      <c r="AT375" s="190">
        <f t="shared" si="239"/>
        <v>-10.809099509679488</v>
      </c>
      <c r="AU375" s="169">
        <f t="shared" si="240"/>
        <v>43.480656329544132</v>
      </c>
      <c r="AV375" s="225"/>
      <c r="AX375">
        <f t="shared" si="241"/>
        <v>0</v>
      </c>
      <c r="AY375">
        <f t="shared" si="242"/>
        <v>0</v>
      </c>
    </row>
    <row r="376" spans="14:51" x14ac:dyDescent="0.25">
      <c r="N376" s="170">
        <v>58</v>
      </c>
      <c r="O376" s="199">
        <f t="shared" si="208"/>
        <v>38018.939632056143</v>
      </c>
      <c r="P376" s="189" t="str">
        <f t="shared" si="209"/>
        <v>87</v>
      </c>
      <c r="Q376" s="160" t="str">
        <f t="shared" si="210"/>
        <v>1+1791.60032168013i</v>
      </c>
      <c r="R376" s="160">
        <f t="shared" si="218"/>
        <v>1791.60060076021</v>
      </c>
      <c r="S376" s="160">
        <f t="shared" si="219"/>
        <v>1.570238166649438</v>
      </c>
      <c r="T376" s="160" t="str">
        <f t="shared" si="211"/>
        <v>1+1.19440021445341i</v>
      </c>
      <c r="U376" s="160">
        <f t="shared" si="220"/>
        <v>1.5577521857748593</v>
      </c>
      <c r="V376" s="160">
        <f t="shared" si="221"/>
        <v>0.87375672273265392</v>
      </c>
      <c r="W376" s="98" t="str">
        <f t="shared" si="212"/>
        <v>1-0.169206697047567i</v>
      </c>
      <c r="X376" s="160">
        <f t="shared" si="222"/>
        <v>1.0142144281786505</v>
      </c>
      <c r="Y376" s="160">
        <f t="shared" si="223"/>
        <v>-0.1676190357656846</v>
      </c>
      <c r="Z376" s="98" t="str">
        <f t="shared" si="213"/>
        <v>0.989721317185807+0.355453503821336i</v>
      </c>
      <c r="AA376" s="160">
        <f t="shared" si="224"/>
        <v>1.0516156517810455</v>
      </c>
      <c r="AB376" s="160">
        <f t="shared" si="225"/>
        <v>0.34479850634080284</v>
      </c>
      <c r="AC376" s="171" t="str">
        <f t="shared" si="226"/>
        <v>0.0258293169873288-0.0682285416365169i</v>
      </c>
      <c r="AD376" s="190">
        <f t="shared" si="227"/>
        <v>-22.739016685706503</v>
      </c>
      <c r="AE376" s="169">
        <f t="shared" si="228"/>
        <v>-69.264809756777979</v>
      </c>
      <c r="AF376" s="98" t="str">
        <f t="shared" si="214"/>
        <v>-0.0000673063927557778</v>
      </c>
      <c r="AG376" s="98" t="str">
        <f t="shared" si="215"/>
        <v>0.00240504427182339i</v>
      </c>
      <c r="AH376" s="98">
        <f t="shared" si="229"/>
        <v>2.40504427182339E-3</v>
      </c>
      <c r="AI376" s="98">
        <f t="shared" si="230"/>
        <v>1.5707963267948966</v>
      </c>
      <c r="AJ376" s="98" t="str">
        <f t="shared" si="216"/>
        <v>1+2.42011962404148i</v>
      </c>
      <c r="AK376" s="98">
        <f t="shared" si="231"/>
        <v>2.6185833946373895</v>
      </c>
      <c r="AL376" s="98">
        <f t="shared" si="232"/>
        <v>1.1789603652993605</v>
      </c>
      <c r="AM376" s="98" t="str">
        <f t="shared" si="217"/>
        <v>1+358.320064336024i</v>
      </c>
      <c r="AN376" s="98">
        <f t="shared" si="233"/>
        <v>358.32145973381557</v>
      </c>
      <c r="AO376" s="98">
        <f t="shared" si="234"/>
        <v>1.5680055330232026</v>
      </c>
      <c r="AP376" s="168" t="str">
        <f t="shared" si="235"/>
        <v>-1.45254080556396+3.54330801919617i</v>
      </c>
      <c r="AQ376" s="98">
        <f t="shared" si="236"/>
        <v>11.662792986834825</v>
      </c>
      <c r="AR376" s="169">
        <f t="shared" si="237"/>
        <v>112.29064615053534</v>
      </c>
      <c r="AS376" s="168" t="str">
        <f t="shared" si="238"/>
        <v>0.204236601814789+0.190625966842722i</v>
      </c>
      <c r="AT376" s="190">
        <f t="shared" si="239"/>
        <v>-11.076223698871679</v>
      </c>
      <c r="AU376" s="169">
        <f t="shared" si="240"/>
        <v>43.02583639375726</v>
      </c>
      <c r="AV376" s="225"/>
      <c r="AX376">
        <f t="shared" si="241"/>
        <v>0</v>
      </c>
      <c r="AY376">
        <f t="shared" si="242"/>
        <v>0</v>
      </c>
    </row>
    <row r="377" spans="14:51" x14ac:dyDescent="0.25">
      <c r="N377" s="170">
        <v>59</v>
      </c>
      <c r="O377" s="199">
        <f t="shared" si="208"/>
        <v>38904.514499428085</v>
      </c>
      <c r="P377" s="189" t="str">
        <f t="shared" si="209"/>
        <v>87</v>
      </c>
      <c r="Q377" s="160" t="str">
        <f t="shared" si="210"/>
        <v>1+1833.33205414322i</v>
      </c>
      <c r="R377" s="160">
        <f t="shared" si="218"/>
        <v>1833.3323268706629</v>
      </c>
      <c r="S377" s="160">
        <f t="shared" si="219"/>
        <v>1.5702508719229511</v>
      </c>
      <c r="T377" s="160" t="str">
        <f t="shared" si="211"/>
        <v>1+1.22222136942881i</v>
      </c>
      <c r="U377" s="160">
        <f t="shared" si="220"/>
        <v>1.5791849403690614</v>
      </c>
      <c r="V377" s="160">
        <f t="shared" si="221"/>
        <v>0.88506647392675264</v>
      </c>
      <c r="W377" s="98" t="str">
        <f t="shared" si="212"/>
        <v>1-0.173148027335748i</v>
      </c>
      <c r="X377" s="160">
        <f t="shared" si="222"/>
        <v>1.0148794210990095</v>
      </c>
      <c r="Y377" s="160">
        <f t="shared" si="223"/>
        <v>-0.17144816180002115</v>
      </c>
      <c r="Z377" s="98" t="str">
        <f t="shared" si="213"/>
        <v>0.989236897788898+0.363733079542014i</v>
      </c>
      <c r="AA377" s="160">
        <f t="shared" si="224"/>
        <v>1.0539883268329491</v>
      </c>
      <c r="AB377" s="160">
        <f t="shared" si="225"/>
        <v>0.35234705507080433</v>
      </c>
      <c r="AC377" s="171" t="str">
        <f t="shared" si="226"/>
        <v>0.0255423554021339-0.0674869611378622i</v>
      </c>
      <c r="AD377" s="190">
        <f t="shared" si="227"/>
        <v>-22.834206092642955</v>
      </c>
      <c r="AE377" s="169">
        <f t="shared" si="228"/>
        <v>-69.269429449232192</v>
      </c>
      <c r="AF377" s="98" t="str">
        <f t="shared" si="214"/>
        <v>-0.0000673063927557778</v>
      </c>
      <c r="AG377" s="98" t="str">
        <f t="shared" si="215"/>
        <v>0.00246106494948185i</v>
      </c>
      <c r="AH377" s="98">
        <f t="shared" si="229"/>
        <v>2.4610649494818501E-3</v>
      </c>
      <c r="AI377" s="98">
        <f t="shared" si="230"/>
        <v>1.5707963267948966</v>
      </c>
      <c r="AJ377" s="98" t="str">
        <f t="shared" si="216"/>
        <v>1+2.47649145176278i</v>
      </c>
      <c r="AK377" s="98">
        <f t="shared" si="231"/>
        <v>2.6707695352939238</v>
      </c>
      <c r="AL377" s="98">
        <f t="shared" si="232"/>
        <v>1.1870209026662346</v>
      </c>
      <c r="AM377" s="98" t="str">
        <f t="shared" si="217"/>
        <v>1+366.666410828643i</v>
      </c>
      <c r="AN377" s="98">
        <f t="shared" si="233"/>
        <v>366.6677744634224</v>
      </c>
      <c r="AO377" s="98">
        <f t="shared" si="234"/>
        <v>1.5680690589265123</v>
      </c>
      <c r="AP377" s="168" t="str">
        <f t="shared" si="235"/>
        <v>-1.39633085014748+3.48534989715097i</v>
      </c>
      <c r="AQ377" s="98">
        <f t="shared" si="236"/>
        <v>11.491391380839023</v>
      </c>
      <c r="AR377" s="169">
        <f t="shared" si="237"/>
        <v>111.83245114495536</v>
      </c>
      <c r="AS377" s="168" t="str">
        <f t="shared" si="238"/>
        <v>0.199550094227449+0.183258171593322i</v>
      </c>
      <c r="AT377" s="190">
        <f t="shared" si="239"/>
        <v>-11.34281471180393</v>
      </c>
      <c r="AU377" s="169">
        <f t="shared" si="240"/>
        <v>42.563021695723158</v>
      </c>
      <c r="AV377" s="225"/>
      <c r="AX377">
        <f t="shared" si="241"/>
        <v>0</v>
      </c>
      <c r="AY377">
        <f t="shared" si="242"/>
        <v>0</v>
      </c>
    </row>
    <row r="378" spans="14:51" x14ac:dyDescent="0.25">
      <c r="N378" s="170">
        <v>60</v>
      </c>
      <c r="O378" s="199">
        <f t="shared" si="208"/>
        <v>39810.717055349742</v>
      </c>
      <c r="P378" s="189" t="str">
        <f t="shared" si="209"/>
        <v>87</v>
      </c>
      <c r="Q378" s="160" t="str">
        <f t="shared" si="210"/>
        <v>1+1876.03584352843i</v>
      </c>
      <c r="R378" s="160">
        <f t="shared" si="218"/>
        <v>1876.036110047839</v>
      </c>
      <c r="S378" s="160">
        <f t="shared" si="219"/>
        <v>1.5702632879893006</v>
      </c>
      <c r="T378" s="160" t="str">
        <f t="shared" si="211"/>
        <v>1+1.25069056235229i</v>
      </c>
      <c r="U378" s="160">
        <f t="shared" si="220"/>
        <v>1.6013203560677942</v>
      </c>
      <c r="V378" s="160">
        <f t="shared" si="221"/>
        <v>0.89632478156307416</v>
      </c>
      <c r="W378" s="98" t="str">
        <f t="shared" si="212"/>
        <v>1-0.177181162999907i</v>
      </c>
      <c r="X378" s="160">
        <f t="shared" si="222"/>
        <v>1.0155752874710962</v>
      </c>
      <c r="Y378" s="160">
        <f t="shared" si="223"/>
        <v>-0.17536122956018863</v>
      </c>
      <c r="Z378" s="98" t="str">
        <f t="shared" si="213"/>
        <v>0.988729648409165+0.37220551135604i</v>
      </c>
      <c r="AA378" s="160">
        <f t="shared" si="224"/>
        <v>1.0564673493899952</v>
      </c>
      <c r="AB378" s="160">
        <f t="shared" si="225"/>
        <v>0.36003973338493306</v>
      </c>
      <c r="AC378" s="171" t="str">
        <f t="shared" si="226"/>
        <v>0.0252447124371201-0.0667731129547399i</v>
      </c>
      <c r="AD378" s="190">
        <f t="shared" si="227"/>
        <v>-22.927753429645591</v>
      </c>
      <c r="AE378" s="169">
        <f t="shared" si="228"/>
        <v>-69.290047593568744</v>
      </c>
      <c r="AF378" s="98" t="str">
        <f t="shared" si="214"/>
        <v>-0.0000673063927557778</v>
      </c>
      <c r="AG378" s="98" t="str">
        <f t="shared" si="215"/>
        <v>0.00251839051635256i</v>
      </c>
      <c r="AH378" s="98">
        <f t="shared" si="229"/>
        <v>2.5183905163525598E-3</v>
      </c>
      <c r="AI378" s="98">
        <f t="shared" si="230"/>
        <v>1.5707963267948966</v>
      </c>
      <c r="AJ378" s="98" t="str">
        <f t="shared" si="216"/>
        <v>1+2.53417634803204i</v>
      </c>
      <c r="AK378" s="98">
        <f t="shared" si="231"/>
        <v>2.7243439142158623</v>
      </c>
      <c r="AL378" s="98">
        <f t="shared" si="232"/>
        <v>1.1949489880896889</v>
      </c>
      <c r="AM378" s="98" t="str">
        <f t="shared" si="217"/>
        <v>1+375.207168705685i</v>
      </c>
      <c r="AN378" s="98">
        <f t="shared" si="233"/>
        <v>375.20850130045875</v>
      </c>
      <c r="AO378" s="98">
        <f t="shared" si="234"/>
        <v>1.5681311388249914</v>
      </c>
      <c r="AP378" s="168" t="str">
        <f t="shared" si="235"/>
        <v>-1.34195297940563+3.42747145603487i</v>
      </c>
      <c r="AQ378" s="98">
        <f t="shared" si="236"/>
        <v>11.318879582759278</v>
      </c>
      <c r="AR378" s="169">
        <f t="shared" si="237"/>
        <v>111.38176222674768</v>
      </c>
      <c r="AS378" s="168" t="str">
        <f t="shared" si="238"/>
        <v>0.194985721613732+0.176131909167839i</v>
      </c>
      <c r="AT378" s="190">
        <f t="shared" si="239"/>
        <v>-11.608873846886311</v>
      </c>
      <c r="AU378" s="169">
        <f t="shared" si="240"/>
        <v>42.091714633178796</v>
      </c>
      <c r="AV378" s="225"/>
      <c r="AX378">
        <f t="shared" si="241"/>
        <v>0</v>
      </c>
      <c r="AY378">
        <f t="shared" si="242"/>
        <v>0</v>
      </c>
    </row>
    <row r="379" spans="14:51" x14ac:dyDescent="0.25">
      <c r="N379" s="170">
        <v>61</v>
      </c>
      <c r="O379" s="199">
        <f t="shared" si="208"/>
        <v>40738.027780411358</v>
      </c>
      <c r="P379" s="189" t="str">
        <f t="shared" si="209"/>
        <v>87</v>
      </c>
      <c r="Q379" s="160" t="str">
        <f t="shared" si="210"/>
        <v>1+1919.73433195016i</v>
      </c>
      <c r="R379" s="160">
        <f t="shared" si="218"/>
        <v>1919.7345924028473</v>
      </c>
      <c r="S379" s="160">
        <f t="shared" si="219"/>
        <v>1.5702754214316339</v>
      </c>
      <c r="T379" s="160" t="str">
        <f t="shared" si="211"/>
        <v>1+1.27982288796677i</v>
      </c>
      <c r="U379" s="160">
        <f t="shared" si="220"/>
        <v>1.6241756754007872</v>
      </c>
      <c r="V379" s="160">
        <f t="shared" si="221"/>
        <v>0.90752619974505411</v>
      </c>
      <c r="W379" s="98" t="str">
        <f t="shared" si="212"/>
        <v>1-0.181308242461959i</v>
      </c>
      <c r="X379" s="160">
        <f t="shared" si="222"/>
        <v>1.0163034383414455</v>
      </c>
      <c r="Y379" s="160">
        <f t="shared" si="223"/>
        <v>-0.17935983422960214</v>
      </c>
      <c r="Z379" s="98" t="str">
        <f t="shared" si="213"/>
        <v>0.988198493102666+0.380875291458911i</v>
      </c>
      <c r="AA379" s="160">
        <f t="shared" si="224"/>
        <v>1.0590572455794305</v>
      </c>
      <c r="AB379" s="160">
        <f t="shared" si="225"/>
        <v>0.36787794554665121</v>
      </c>
      <c r="AC379" s="171" t="str">
        <f t="shared" si="226"/>
        <v>0.0249361015701515-0.0660861624702656i</v>
      </c>
      <c r="AD379" s="190">
        <f t="shared" si="227"/>
        <v>-23.019699540508832</v>
      </c>
      <c r="AE379" s="169">
        <f t="shared" si="228"/>
        <v>-69.327148449509963</v>
      </c>
      <c r="AF379" s="98" t="str">
        <f t="shared" si="214"/>
        <v>-0.0000673063927557778</v>
      </c>
      <c r="AG379" s="98" t="str">
        <f t="shared" si="215"/>
        <v>0.00257705136720989i</v>
      </c>
      <c r="AH379" s="98">
        <f t="shared" si="229"/>
        <v>2.57705136720989E-3</v>
      </c>
      <c r="AI379" s="98">
        <f t="shared" si="230"/>
        <v>1.5707963267948966</v>
      </c>
      <c r="AJ379" s="98" t="str">
        <f t="shared" si="216"/>
        <v>1+2.59320489814483i</v>
      </c>
      <c r="AK379" s="98">
        <f t="shared" si="231"/>
        <v>2.7793365474088123</v>
      </c>
      <c r="AL379" s="98">
        <f t="shared" si="232"/>
        <v>1.2027448375796692</v>
      </c>
      <c r="AM379" s="98" t="str">
        <f t="shared" si="217"/>
        <v>1+383.946866390031i</v>
      </c>
      <c r="AN379" s="98">
        <f t="shared" si="233"/>
        <v>383.94816865134845</v>
      </c>
      <c r="AO379" s="98">
        <f t="shared" si="234"/>
        <v>1.5681918056323088</v>
      </c>
      <c r="AP379" s="168" t="str">
        <f t="shared" si="235"/>
        <v>-1.28937392772412+3.36972838334966i</v>
      </c>
      <c r="AQ379" s="98">
        <f t="shared" si="236"/>
        <v>11.145294046940348</v>
      </c>
      <c r="AR379" s="169">
        <f t="shared" si="237"/>
        <v>110.93856890526851</v>
      </c>
      <c r="AS379" s="168" t="str">
        <f t="shared" si="238"/>
        <v>0.190540458199077+0.16923766410353i</v>
      </c>
      <c r="AT379" s="190">
        <f t="shared" si="239"/>
        <v>-11.874405493568494</v>
      </c>
      <c r="AU379" s="169">
        <f t="shared" si="240"/>
        <v>41.611420455758555</v>
      </c>
      <c r="AV379" s="225"/>
      <c r="AX379">
        <f t="shared" si="241"/>
        <v>0</v>
      </c>
      <c r="AY379">
        <f t="shared" si="242"/>
        <v>0</v>
      </c>
    </row>
    <row r="380" spans="14:51" x14ac:dyDescent="0.25">
      <c r="N380" s="170">
        <v>62</v>
      </c>
      <c r="O380" s="199">
        <f t="shared" si="208"/>
        <v>41686.938347033625</v>
      </c>
      <c r="P380" s="189" t="str">
        <f t="shared" si="209"/>
        <v>87</v>
      </c>
      <c r="Q380" s="160" t="str">
        <f t="shared" si="210"/>
        <v>1+1964.45068892538i</v>
      </c>
      <c r="R380" s="160">
        <f t="shared" si="218"/>
        <v>1964.4509434494416</v>
      </c>
      <c r="S380" s="160">
        <f t="shared" si="219"/>
        <v>1.5702872786832485</v>
      </c>
      <c r="T380" s="160" t="str">
        <f t="shared" si="211"/>
        <v>1+1.30963379261692i</v>
      </c>
      <c r="U380" s="160">
        <f t="shared" si="220"/>
        <v>1.6477683911169607</v>
      </c>
      <c r="V380" s="160">
        <f t="shared" si="221"/>
        <v>0.91866542451459954</v>
      </c>
      <c r="W380" s="98" t="str">
        <f t="shared" si="212"/>
        <v>1-0.185531453954063i</v>
      </c>
      <c r="X380" s="160">
        <f t="shared" si="222"/>
        <v>1.0170653471662028</v>
      </c>
      <c r="Y380" s="160">
        <f t="shared" si="223"/>
        <v>-0.18344558420409104</v>
      </c>
      <c r="Z380" s="98" t="str">
        <f t="shared" si="213"/>
        <v>0.987642305217782+0.389747016682794i</v>
      </c>
      <c r="AA380" s="160">
        <f t="shared" si="224"/>
        <v>1.0617627136366357</v>
      </c>
      <c r="AB380" s="160">
        <f t="shared" si="225"/>
        <v>0.37586302219734546</v>
      </c>
      <c r="AC380" s="171" t="str">
        <f t="shared" si="226"/>
        <v>0.0246162391651351-0.065425268775196i</v>
      </c>
      <c r="AD380" s="190">
        <f t="shared" si="227"/>
        <v>-23.110087604573565</v>
      </c>
      <c r="AE380" s="169">
        <f t="shared" si="228"/>
        <v>-69.38120467449869</v>
      </c>
      <c r="AF380" s="98" t="str">
        <f t="shared" si="214"/>
        <v>-0.0000673063927557778</v>
      </c>
      <c r="AG380" s="98" t="str">
        <f t="shared" si="215"/>
        <v>0.00263707860481342i</v>
      </c>
      <c r="AH380" s="98">
        <f t="shared" si="229"/>
        <v>2.63707860481342E-3</v>
      </c>
      <c r="AI380" s="98">
        <f t="shared" si="230"/>
        <v>1.5707963267948966</v>
      </c>
      <c r="AJ380" s="98" t="str">
        <f t="shared" si="216"/>
        <v>1+2.65360839981973i</v>
      </c>
      <c r="AK380" s="98">
        <f t="shared" si="231"/>
        <v>2.8357781188932658</v>
      </c>
      <c r="AL380" s="98">
        <f t="shared" si="232"/>
        <v>1.2104087932148586</v>
      </c>
      <c r="AM380" s="98" t="str">
        <f t="shared" si="217"/>
        <v>1+392.890137785074i</v>
      </c>
      <c r="AN380" s="98">
        <f t="shared" si="233"/>
        <v>392.89141040340195</v>
      </c>
      <c r="AO380" s="98">
        <f t="shared" si="234"/>
        <v>1.568251091513021</v>
      </c>
      <c r="AP380" s="168" t="str">
        <f t="shared" si="235"/>
        <v>-1.23855890589631+3.31217340567089i</v>
      </c>
      <c r="AQ380" s="98">
        <f t="shared" si="236"/>
        <v>10.970670544238905</v>
      </c>
      <c r="AR380" s="169">
        <f t="shared" si="237"/>
        <v>110.50285342374609</v>
      </c>
      <c r="AS380" s="168" t="str">
        <f t="shared" si="238"/>
        <v>0.186211173048423+0.162566302022573i</v>
      </c>
      <c r="AT380" s="190">
        <f t="shared" si="239"/>
        <v>-12.139417060334658</v>
      </c>
      <c r="AU380" s="169">
        <f t="shared" si="240"/>
        <v>41.121648749247264</v>
      </c>
      <c r="AV380" s="225"/>
      <c r="AX380">
        <f t="shared" si="241"/>
        <v>0</v>
      </c>
      <c r="AY380">
        <f t="shared" si="242"/>
        <v>0</v>
      </c>
    </row>
    <row r="381" spans="14:51" x14ac:dyDescent="0.25">
      <c r="N381" s="170">
        <v>63</v>
      </c>
      <c r="O381" s="199">
        <f t="shared" si="208"/>
        <v>42657.951880159271</v>
      </c>
      <c r="P381" s="189" t="str">
        <f t="shared" si="209"/>
        <v>87</v>
      </c>
      <c r="Q381" s="160" t="str">
        <f t="shared" si="210"/>
        <v>1+2010.20862365844i</v>
      </c>
      <c r="R381" s="160">
        <f t="shared" si="218"/>
        <v>2010.2088723888273</v>
      </c>
      <c r="S381" s="160">
        <f t="shared" si="219"/>
        <v>1.5702988660310029</v>
      </c>
      <c r="T381" s="160" t="str">
        <f t="shared" si="211"/>
        <v>1+1.34013908243896i</v>
      </c>
      <c r="U381" s="160">
        <f t="shared" si="220"/>
        <v>1.6721162520232669</v>
      </c>
      <c r="V381" s="160">
        <f t="shared" si="221"/>
        <v>0.92973730509767583</v>
      </c>
      <c r="W381" s="98" t="str">
        <f t="shared" si="212"/>
        <v>1-0.189853036678852i</v>
      </c>
      <c r="X381" s="160">
        <f t="shared" si="222"/>
        <v>1.0178625523793385</v>
      </c>
      <c r="Y381" s="160">
        <f t="shared" si="223"/>
        <v>-0.18762009989555475</v>
      </c>
      <c r="Z381" s="98" t="str">
        <f t="shared" si="213"/>
        <v>0.98705990500544+0.398825390933833i</v>
      </c>
      <c r="AA381" s="160">
        <f t="shared" si="224"/>
        <v>1.064588628777742</v>
      </c>
      <c r="AB381" s="160">
        <f t="shared" si="225"/>
        <v>0.38399621434539644</v>
      </c>
      <c r="AC381" s="171" t="str">
        <f t="shared" si="226"/>
        <v>0.0242848455347807-0.0647895838540096i</v>
      </c>
      <c r="AD381" s="190">
        <f t="shared" si="227"/>
        <v>-23.198963022475141</v>
      </c>
      <c r="AE381" s="169">
        <f t="shared" si="228"/>
        <v>-69.452676266622134</v>
      </c>
      <c r="AF381" s="98" t="str">
        <f t="shared" si="214"/>
        <v>-0.0000673063927557778</v>
      </c>
      <c r="AG381" s="98" t="str">
        <f t="shared" si="215"/>
        <v>0.00269850405639908i</v>
      </c>
      <c r="AH381" s="98">
        <f t="shared" si="229"/>
        <v>2.6985040563990799E-3</v>
      </c>
      <c r="AI381" s="98">
        <f t="shared" si="230"/>
        <v>1.5707963267948966</v>
      </c>
      <c r="AJ381" s="98" t="str">
        <f t="shared" si="216"/>
        <v>1+2.71541887979288i</v>
      </c>
      <c r="AK381" s="98">
        <f t="shared" si="231"/>
        <v>2.8937000004726854</v>
      </c>
      <c r="AL381" s="98">
        <f t="shared" si="232"/>
        <v>1.2179413163012958</v>
      </c>
      <c r="AM381" s="98" t="str">
        <f t="shared" si="217"/>
        <v>1+402.041724731686i</v>
      </c>
      <c r="AN381" s="98">
        <f t="shared" si="233"/>
        <v>402.04296838177481</v>
      </c>
      <c r="AO381" s="98">
        <f t="shared" si="234"/>
        <v>1.5683090278996192</v>
      </c>
      <c r="AP381" s="168" t="str">
        <f t="shared" si="235"/>
        <v>-1.18947180487686+3.25485630881428i</v>
      </c>
      <c r="AQ381" s="98">
        <f t="shared" si="236"/>
        <v>10.79504413348397</v>
      </c>
      <c r="AR381" s="169">
        <f t="shared" si="237"/>
        <v>110.07459115224074</v>
      </c>
      <c r="AS381" s="168" t="str">
        <f t="shared" si="238"/>
        <v>0.181994646703264+0.156109065941511i</v>
      </c>
      <c r="AT381" s="190">
        <f t="shared" si="239"/>
        <v>-12.403918888991154</v>
      </c>
      <c r="AU381" s="169">
        <f t="shared" si="240"/>
        <v>40.621914885618601</v>
      </c>
      <c r="AV381" s="225"/>
      <c r="AX381">
        <f t="shared" si="241"/>
        <v>0</v>
      </c>
      <c r="AY381">
        <f t="shared" si="242"/>
        <v>0</v>
      </c>
    </row>
    <row r="382" spans="14:51" x14ac:dyDescent="0.25">
      <c r="N382" s="170">
        <v>64</v>
      </c>
      <c r="O382" s="199">
        <f t="shared" si="208"/>
        <v>43651.583224016598</v>
      </c>
      <c r="P382" s="189" t="str">
        <f t="shared" si="209"/>
        <v>87</v>
      </c>
      <c r="Q382" s="160" t="str">
        <f t="shared" si="210"/>
        <v>1+2057.03239761201i</v>
      </c>
      <c r="R382" s="160">
        <f t="shared" si="218"/>
        <v>2057.032640680603</v>
      </c>
      <c r="S382" s="160">
        <f t="shared" si="219"/>
        <v>1.5703101896186498</v>
      </c>
      <c r="T382" s="160" t="str">
        <f t="shared" si="211"/>
        <v>1+1.37135493174134i</v>
      </c>
      <c r="U382" s="160">
        <f t="shared" si="220"/>
        <v>1.6972372694503544</v>
      </c>
      <c r="V382" s="160">
        <f t="shared" si="221"/>
        <v>0.94073685426248232</v>
      </c>
      <c r="W382" s="98" t="str">
        <f t="shared" si="212"/>
        <v>1-0.19427528199669i</v>
      </c>
      <c r="X382" s="160">
        <f t="shared" si="222"/>
        <v>1.0186966600489535</v>
      </c>
      <c r="Y382" s="160">
        <f t="shared" si="223"/>
        <v>-0.19188501242357761</v>
      </c>
      <c r="Z382" s="98" t="str">
        <f t="shared" si="213"/>
        <v>0.986450057116706+0.408115227686223i</v>
      </c>
      <c r="AA382" s="160">
        <f t="shared" si="224"/>
        <v>1.0675400480801318</v>
      </c>
      <c r="AB382" s="160">
        <f t="shared" si="225"/>
        <v>0.39227868720139253</v>
      </c>
      <c r="AC382" s="171" t="str">
        <f t="shared" si="226"/>
        <v>0.0239416460778372-0.0641782518243388i</v>
      </c>
      <c r="AD382" s="190">
        <f t="shared" si="227"/>
        <v>-23.286373292909268</v>
      </c>
      <c r="AE382" s="169">
        <f t="shared" si="228"/>
        <v>-69.542009543141319</v>
      </c>
      <c r="AF382" s="98" t="str">
        <f t="shared" si="214"/>
        <v>-0.0000673063927557778</v>
      </c>
      <c r="AG382" s="98" t="str">
        <f t="shared" si="215"/>
        <v>0.00276136029055436i</v>
      </c>
      <c r="AH382" s="98">
        <f t="shared" si="229"/>
        <v>2.7613602905543601E-3</v>
      </c>
      <c r="AI382" s="98">
        <f t="shared" si="230"/>
        <v>1.5707963267948966</v>
      </c>
      <c r="AJ382" s="98" t="str">
        <f t="shared" si="216"/>
        <v>1+2.7786691107989i</v>
      </c>
      <c r="AK382" s="98">
        <f t="shared" si="231"/>
        <v>2.9531342718047799</v>
      </c>
      <c r="AL382" s="98">
        <f t="shared" si="232"/>
        <v>1.2253429805918841</v>
      </c>
      <c r="AM382" s="98" t="str">
        <f t="shared" si="217"/>
        <v>1+411.406479522402i</v>
      </c>
      <c r="AN382" s="98">
        <f t="shared" si="233"/>
        <v>411.4076948636432</v>
      </c>
      <c r="AO382" s="98">
        <f t="shared" si="234"/>
        <v>1.5683656455091854</v>
      </c>
      <c r="AP382" s="168" t="str">
        <f t="shared" si="235"/>
        <v>-1.14207539012906+3.19782396982141i</v>
      </c>
      <c r="AQ382" s="98">
        <f t="shared" si="236"/>
        <v>10.618449136935817</v>
      </c>
      <c r="AR382" s="169">
        <f t="shared" si="237"/>
        <v>109.65375097709156</v>
      </c>
      <c r="AS382" s="168" t="str">
        <f t="shared" si="238"/>
        <v>0.177887587240427+0.149857571694771i</v>
      </c>
      <c r="AT382" s="190">
        <f t="shared" si="239"/>
        <v>-12.667924155973466</v>
      </c>
      <c r="AU382" s="169">
        <f t="shared" si="240"/>
        <v>40.111741433950257</v>
      </c>
      <c r="AV382" s="225"/>
      <c r="AX382">
        <f t="shared" si="241"/>
        <v>0</v>
      </c>
      <c r="AY382">
        <f t="shared" si="242"/>
        <v>0</v>
      </c>
    </row>
    <row r="383" spans="14:51" x14ac:dyDescent="0.25">
      <c r="N383" s="170">
        <v>65</v>
      </c>
      <c r="O383" s="199">
        <f t="shared" si="208"/>
        <v>44668.359215096389</v>
      </c>
      <c r="P383" s="189" t="str">
        <f t="shared" si="209"/>
        <v>87</v>
      </c>
      <c r="Q383" s="160" t="str">
        <f t="shared" si="210"/>
        <v>1+2104.94683737086i</v>
      </c>
      <c r="R383" s="160">
        <f t="shared" si="218"/>
        <v>2104.9470749065372</v>
      </c>
      <c r="S383" s="160">
        <f t="shared" si="219"/>
        <v>1.5703212554500934</v>
      </c>
      <c r="T383" s="160" t="str">
        <f t="shared" si="211"/>
        <v>1+1.40329789158057i</v>
      </c>
      <c r="U383" s="160">
        <f t="shared" si="220"/>
        <v>1.7231497243462255</v>
      </c>
      <c r="V383" s="160">
        <f t="shared" si="221"/>
        <v>0.95165925775044802</v>
      </c>
      <c r="W383" s="98" t="str">
        <f t="shared" si="212"/>
        <v>1-0.198800534640581i</v>
      </c>
      <c r="X383" s="160">
        <f t="shared" si="222"/>
        <v>1.0195693466230635</v>
      </c>
      <c r="Y383" s="160">
        <f t="shared" si="223"/>
        <v>-0.19624196218889259</v>
      </c>
      <c r="Z383" s="98" t="str">
        <f t="shared" si="213"/>
        <v>0.985811467982443+0.417621452534378i</v>
      </c>
      <c r="AA383" s="160">
        <f t="shared" si="224"/>
        <v>1.0706222153601255</v>
      </c>
      <c r="AB383" s="160">
        <f t="shared" si="225"/>
        <v>0.40071151387577025</v>
      </c>
      <c r="AC383" s="171" t="str">
        <f t="shared" si="226"/>
        <v>0.0235863724907193-0.0635904082372476i</v>
      </c>
      <c r="AD383" s="190">
        <f t="shared" si="227"/>
        <v>-23.372367880992115</v>
      </c>
      <c r="AE383" s="169">
        <f t="shared" si="228"/>
        <v>-69.649636157490974</v>
      </c>
      <c r="AF383" s="98" t="str">
        <f t="shared" si="214"/>
        <v>-0.0000673063927557778</v>
      </c>
      <c r="AG383" s="98" t="str">
        <f t="shared" si="215"/>
        <v>0.00282568063448663i</v>
      </c>
      <c r="AH383" s="98">
        <f t="shared" si="229"/>
        <v>2.82568063448663E-3</v>
      </c>
      <c r="AI383" s="98">
        <f t="shared" si="230"/>
        <v>1.5707963267948966</v>
      </c>
      <c r="AJ383" s="98" t="str">
        <f t="shared" si="216"/>
        <v>1+2.84339262894752i</v>
      </c>
      <c r="AK383" s="98">
        <f t="shared" si="231"/>
        <v>3.0141137407790519</v>
      </c>
      <c r="AL383" s="98">
        <f t="shared" si="232"/>
        <v>1.2326144655927225</v>
      </c>
      <c r="AM383" s="98" t="str">
        <f t="shared" si="217"/>
        <v>1+420.989367474171i</v>
      </c>
      <c r="AN383" s="98">
        <f t="shared" si="233"/>
        <v>420.99055515094705</v>
      </c>
      <c r="AO383" s="98">
        <f t="shared" si="234"/>
        <v>1.5684209743596733</v>
      </c>
      <c r="AP383" s="168" t="str">
        <f t="shared" si="235"/>
        <v>-1.09633148617161+3.14112039953431i</v>
      </c>
      <c r="AQ383" s="98">
        <f t="shared" si="236"/>
        <v>10.440919119549566</v>
      </c>
      <c r="AR383" s="169">
        <f t="shared" si="237"/>
        <v>109.24029568536922</v>
      </c>
      <c r="AS383" s="168" t="str">
        <f t="shared" si="238"/>
        <v>0.173886645722586+0.143803802550614i</v>
      </c>
      <c r="AT383" s="190">
        <f t="shared" si="239"/>
        <v>-12.931448761442542</v>
      </c>
      <c r="AU383" s="169">
        <f t="shared" si="240"/>
        <v>39.590659527878117</v>
      </c>
      <c r="AV383" s="225"/>
      <c r="AX383">
        <f t="shared" si="241"/>
        <v>0</v>
      </c>
      <c r="AY383">
        <f t="shared" si="242"/>
        <v>0</v>
      </c>
    </row>
    <row r="384" spans="14:51" x14ac:dyDescent="0.25">
      <c r="N384" s="170">
        <v>66</v>
      </c>
      <c r="O384" s="199">
        <f t="shared" ref="O384:O418" si="243">10^(4+(N384/100))</f>
        <v>45708.818961487581</v>
      </c>
      <c r="P384" s="189" t="str">
        <f t="shared" si="209"/>
        <v>87</v>
      </c>
      <c r="Q384" s="160" t="str">
        <f t="shared" si="210"/>
        <v>1+2153.97734780513i</v>
      </c>
      <c r="R384" s="160">
        <f t="shared" si="218"/>
        <v>2153.9775799338354</v>
      </c>
      <c r="S384" s="160">
        <f t="shared" si="219"/>
        <v>1.5703320693925735</v>
      </c>
      <c r="T384" s="160" t="str">
        <f t="shared" si="211"/>
        <v>1+1.43598489853675i</v>
      </c>
      <c r="U384" s="160">
        <f t="shared" si="220"/>
        <v>1.7498721749961053</v>
      </c>
      <c r="V384" s="160">
        <f t="shared" si="221"/>
        <v>0.96249988274965437</v>
      </c>
      <c r="W384" s="98" t="str">
        <f t="shared" si="212"/>
        <v>1-0.203431193959373i</v>
      </c>
      <c r="X384" s="160">
        <f t="shared" si="222"/>
        <v>1.0204823617661092</v>
      </c>
      <c r="Y384" s="160">
        <f t="shared" si="223"/>
        <v>-0.20069259732244898</v>
      </c>
      <c r="Z384" s="98" t="str">
        <f t="shared" si="213"/>
        <v>0.985142783069482+0.427349105804537i</v>
      </c>
      <c r="AA384" s="160">
        <f t="shared" si="224"/>
        <v>1.0738405660366075</v>
      </c>
      <c r="AB384" s="160">
        <f t="shared" si="225"/>
        <v>0.40929566895767511</v>
      </c>
      <c r="AC384" s="171" t="str">
        <f t="shared" si="226"/>
        <v>0.0232187640528014-0.0630251794462474i</v>
      </c>
      <c r="AD384" s="190">
        <f t="shared" si="227"/>
        <v>-23.456998078812351</v>
      </c>
      <c r="AE384" s="169">
        <f t="shared" si="228"/>
        <v>-69.775972157200783</v>
      </c>
      <c r="AF384" s="98" t="str">
        <f t="shared" si="214"/>
        <v>-0.0000673063927557778</v>
      </c>
      <c r="AG384" s="98" t="str">
        <f t="shared" si="215"/>
        <v>0.0028914991916936i</v>
      </c>
      <c r="AH384" s="98">
        <f t="shared" si="229"/>
        <v>2.8914991916935999E-3</v>
      </c>
      <c r="AI384" s="98">
        <f t="shared" si="230"/>
        <v>1.5707963267948966</v>
      </c>
      <c r="AJ384" s="98" t="str">
        <f t="shared" si="216"/>
        <v>1+2.90962375150474i</v>
      </c>
      <c r="AK384" s="98">
        <f t="shared" si="231"/>
        <v>3.0766719642042628</v>
      </c>
      <c r="AL384" s="98">
        <f t="shared" si="232"/>
        <v>1.239756549979296</v>
      </c>
      <c r="AM384" s="98" t="str">
        <f t="shared" si="217"/>
        <v>1+430.795469561025i</v>
      </c>
      <c r="AN384" s="98">
        <f t="shared" si="233"/>
        <v>430.79663020305071</v>
      </c>
      <c r="AO384" s="98">
        <f t="shared" si="234"/>
        <v>1.5684750437858157</v>
      </c>
      <c r="AP384" s="168" t="str">
        <f t="shared" si="235"/>
        <v>-1.0522011510506+3.08478679456467i</v>
      </c>
      <c r="AQ384" s="98">
        <f t="shared" si="236"/>
        <v>10.262486871844255</v>
      </c>
      <c r="AR384" s="169">
        <f t="shared" si="237"/>
        <v>108.83418234301082</v>
      </c>
      <c r="AS384" s="168" t="str">
        <f t="shared" si="238"/>
        <v>0.169988431018523+0.137940103094707i</v>
      </c>
      <c r="AT384" s="190">
        <f t="shared" si="239"/>
        <v>-13.194511206968082</v>
      </c>
      <c r="AU384" s="169">
        <f t="shared" si="240"/>
        <v>39.058210185810033</v>
      </c>
      <c r="AV384" s="225"/>
      <c r="AX384">
        <f t="shared" si="241"/>
        <v>0</v>
      </c>
      <c r="AY384">
        <f t="shared" si="242"/>
        <v>0</v>
      </c>
    </row>
    <row r="385" spans="14:51" x14ac:dyDescent="0.25">
      <c r="N385" s="170">
        <v>67</v>
      </c>
      <c r="O385" s="199">
        <f t="shared" si="243"/>
        <v>46773.514128719893</v>
      </c>
      <c r="P385" s="189" t="str">
        <f t="shared" si="209"/>
        <v>87</v>
      </c>
      <c r="Q385" s="160" t="str">
        <f t="shared" si="210"/>
        <v>1+2204.14992554048i</v>
      </c>
      <c r="R385" s="160">
        <f t="shared" si="218"/>
        <v>2204.1501523852917</v>
      </c>
      <c r="S385" s="160">
        <f t="shared" si="219"/>
        <v>1.5703426371797751</v>
      </c>
      <c r="T385" s="160" t="str">
        <f t="shared" si="211"/>
        <v>1+1.46943328369365i</v>
      </c>
      <c r="U385" s="160">
        <f t="shared" si="220"/>
        <v>1.7774234653640373</v>
      </c>
      <c r="V385" s="160">
        <f t="shared" si="221"/>
        <v>0.97325428538963799</v>
      </c>
      <c r="W385" s="98" t="str">
        <f t="shared" si="212"/>
        <v>1-0.208169715189934i</v>
      </c>
      <c r="X385" s="160">
        <f t="shared" si="222"/>
        <v>1.0214375312872825</v>
      </c>
      <c r="Y385" s="160">
        <f t="shared" si="223"/>
        <v>-0.20523857200374093</v>
      </c>
      <c r="Z385" s="98" t="str">
        <f t="shared" si="213"/>
        <v>0.98444258400747+0.43730334522723i</v>
      </c>
      <c r="AA385" s="160">
        <f t="shared" si="224"/>
        <v>1.0772007319688519</v>
      </c>
      <c r="AB385" s="160">
        <f t="shared" si="225"/>
        <v>0.41803202199652784</v>
      </c>
      <c r="AC385" s="171" t="str">
        <f t="shared" si="226"/>
        <v>0.0228385689838867-0.0624816820532875i</v>
      </c>
      <c r="AD385" s="190">
        <f t="shared" si="227"/>
        <v>-23.540316858790355</v>
      </c>
      <c r="AE385" s="169">
        <f t="shared" si="228"/>
        <v>-69.921417084824682</v>
      </c>
      <c r="AF385" s="98" t="str">
        <f t="shared" si="214"/>
        <v>-0.0000673063927557778</v>
      </c>
      <c r="AG385" s="98" t="str">
        <f t="shared" si="215"/>
        <v>0.00295885086004553i</v>
      </c>
      <c r="AH385" s="98">
        <f t="shared" si="229"/>
        <v>2.9588508600455299E-3</v>
      </c>
      <c r="AI385" s="98">
        <f t="shared" si="230"/>
        <v>1.5707963267948966</v>
      </c>
      <c r="AJ385" s="98" t="str">
        <f t="shared" si="216"/>
        <v>1+2.97739759508844i</v>
      </c>
      <c r="AK385" s="98">
        <f t="shared" si="231"/>
        <v>3.1408432688114871</v>
      </c>
      <c r="AL385" s="98">
        <f t="shared" si="232"/>
        <v>1.2467701051429487</v>
      </c>
      <c r="AM385" s="98" t="str">
        <f t="shared" si="217"/>
        <v>1+440.829985108095i</v>
      </c>
      <c r="AN385" s="98">
        <f t="shared" si="233"/>
        <v>440.83111933075151</v>
      </c>
      <c r="AO385" s="98">
        <f t="shared" si="234"/>
        <v>1.5685278824546727</v>
      </c>
      <c r="AP385" s="168" t="str">
        <f t="shared" si="235"/>
        <v>-1.00964484057199+3.02886159750669i</v>
      </c>
      <c r="AQ385" s="98">
        <f t="shared" si="236"/>
        <v>10.083184396172689</v>
      </c>
      <c r="AR385" s="169">
        <f t="shared" si="237"/>
        <v>108.43536266547194</v>
      </c>
      <c r="AS385" s="168" t="str">
        <f t="shared" si="238"/>
        <v>0.166189523978197+0.132259172452663i</v>
      </c>
      <c r="AT385" s="190">
        <f t="shared" si="239"/>
        <v>-13.457132462617656</v>
      </c>
      <c r="AU385" s="169">
        <f t="shared" si="240"/>
        <v>38.513945580647203</v>
      </c>
      <c r="AV385" s="225"/>
      <c r="AX385">
        <f t="shared" si="241"/>
        <v>0</v>
      </c>
      <c r="AY385">
        <f t="shared" si="242"/>
        <v>0</v>
      </c>
    </row>
    <row r="386" spans="14:51" x14ac:dyDescent="0.25">
      <c r="N386" s="170">
        <v>68</v>
      </c>
      <c r="O386" s="199">
        <f t="shared" si="243"/>
        <v>47863.009232263823</v>
      </c>
      <c r="P386" s="189" t="str">
        <f t="shared" si="209"/>
        <v>87</v>
      </c>
      <c r="Q386" s="160" t="str">
        <f t="shared" si="210"/>
        <v>1+2255.49117274171i</v>
      </c>
      <c r="R386" s="160">
        <f t="shared" si="218"/>
        <v>2255.4913944229038</v>
      </c>
      <c r="S386" s="160">
        <f t="shared" si="219"/>
        <v>1.5703529644148697</v>
      </c>
      <c r="T386" s="160" t="str">
        <f t="shared" si="211"/>
        <v>1+1.5036607818278i</v>
      </c>
      <c r="U386" s="160">
        <f t="shared" si="220"/>
        <v>1.8058227340486637</v>
      </c>
      <c r="V386" s="160">
        <f t="shared" si="221"/>
        <v>0.98391821724548467</v>
      </c>
      <c r="W386" s="98" t="str">
        <f t="shared" si="212"/>
        <v>1-0.213018610758939i</v>
      </c>
      <c r="X386" s="160">
        <f t="shared" si="222"/>
        <v>1.0224367601615605</v>
      </c>
      <c r="Y386" s="160">
        <f t="shared" si="223"/>
        <v>-0.20988154464190892</v>
      </c>
      <c r="Z386" s="98" t="str">
        <f t="shared" si="213"/>
        <v>0.983709385580318+0.447489448671955i</v>
      </c>
      <c r="AA386" s="160">
        <f t="shared" si="224"/>
        <v>1.0807085462563608</v>
      </c>
      <c r="AB386" s="160">
        <f t="shared" si="225"/>
        <v>0.42692133091042667</v>
      </c>
      <c r="AC386" s="171" t="str">
        <f t="shared" si="226"/>
        <v>0.0224455458715806-0.0619590224402685i</v>
      </c>
      <c r="AD386" s="190">
        <f t="shared" si="227"/>
        <v>-23.622378720465651</v>
      </c>
      <c r="AE386" s="169">
        <f t="shared" si="228"/>
        <v>-70.086353123570589</v>
      </c>
      <c r="AF386" s="98" t="str">
        <f t="shared" si="214"/>
        <v>-0.0000673063927557778</v>
      </c>
      <c r="AG386" s="98" t="str">
        <f t="shared" si="215"/>
        <v>0.00302777135028847i</v>
      </c>
      <c r="AH386" s="98">
        <f t="shared" si="229"/>
        <v>3.02777135028847E-3</v>
      </c>
      <c r="AI386" s="98">
        <f t="shared" si="230"/>
        <v>1.5707963267948966</v>
      </c>
      <c r="AJ386" s="98" t="str">
        <f t="shared" si="216"/>
        <v>1+3.04675009428757i</v>
      </c>
      <c r="AK386" s="98">
        <f t="shared" si="231"/>
        <v>3.206662772578575</v>
      </c>
      <c r="AL386" s="98">
        <f t="shared" si="232"/>
        <v>1.2536560888853543</v>
      </c>
      <c r="AM386" s="98" t="str">
        <f t="shared" si="217"/>
        <v>1+451.098234548341i</v>
      </c>
      <c r="AN386" s="98">
        <f t="shared" si="233"/>
        <v>451.09934295300195</v>
      </c>
      <c r="AO386" s="98">
        <f t="shared" si="234"/>
        <v>1.5685795183808251</v>
      </c>
      <c r="AP386" s="168" t="str">
        <f t="shared" si="235"/>
        <v>-0.968622562228658+2.97338056429396i</v>
      </c>
      <c r="AQ386" s="98">
        <f t="shared" si="236"/>
        <v>9.903042896186097</v>
      </c>
      <c r="AR386" s="169">
        <f t="shared" si="237"/>
        <v>108.0437833798762</v>
      </c>
      <c r="AS386" s="168" t="str">
        <f t="shared" si="238"/>
        <v>0.162486490953796+0.126754056918802i</v>
      </c>
      <c r="AT386" s="190">
        <f t="shared" si="239"/>
        <v>-13.719335824279572</v>
      </c>
      <c r="AU386" s="169">
        <f t="shared" si="240"/>
        <v>37.957430256305685</v>
      </c>
      <c r="AV386" s="225"/>
      <c r="AX386">
        <f t="shared" si="241"/>
        <v>0</v>
      </c>
      <c r="AY386">
        <f t="shared" si="242"/>
        <v>0</v>
      </c>
    </row>
    <row r="387" spans="14:51" x14ac:dyDescent="0.25">
      <c r="N387" s="170">
        <v>69</v>
      </c>
      <c r="O387" s="199">
        <f t="shared" si="243"/>
        <v>48977.881936844598</v>
      </c>
      <c r="P387" s="189" t="str">
        <f t="shared" si="209"/>
        <v>87</v>
      </c>
      <c r="Q387" s="160" t="str">
        <f t="shared" si="210"/>
        <v>1+2308.02831121769i</v>
      </c>
      <c r="R387" s="160">
        <f t="shared" si="218"/>
        <v>2308.0285278528036</v>
      </c>
      <c r="S387" s="160">
        <f t="shared" si="219"/>
        <v>1.570363056573485</v>
      </c>
      <c r="T387" s="160" t="str">
        <f t="shared" si="211"/>
        <v>1+1.53868554081179i</v>
      </c>
      <c r="U387" s="160">
        <f t="shared" si="220"/>
        <v>1.8350894238437732</v>
      </c>
      <c r="V387" s="160">
        <f t="shared" si="221"/>
        <v>0.99448763084817826</v>
      </c>
      <c r="W387" s="98" t="str">
        <f t="shared" si="212"/>
        <v>1-0.217980451615004i</v>
      </c>
      <c r="X387" s="160">
        <f t="shared" si="222"/>
        <v>1.0234820356441441</v>
      </c>
      <c r="Y387" s="160">
        <f t="shared" si="223"/>
        <v>-0.21462317591313965</v>
      </c>
      <c r="Z387" s="98" t="str">
        <f t="shared" si="213"/>
        <v>0.982941632575861+0.457912816945589i</v>
      </c>
      <c r="AA387" s="160">
        <f t="shared" si="224"/>
        <v>1.0843700479882055</v>
      </c>
      <c r="AB387" s="160">
        <f t="shared" si="225"/>
        <v>0.43596423534847278</v>
      </c>
      <c r="AC387" s="171" t="str">
        <f t="shared" si="226"/>
        <v>0.0220394651653767-0.0614562963948314i</v>
      </c>
      <c r="AD387" s="190">
        <f t="shared" si="227"/>
        <v>-23.703239531341318</v>
      </c>
      <c r="AE387" s="169">
        <f t="shared" si="228"/>
        <v>-70.27114428899209</v>
      </c>
      <c r="AF387" s="98" t="str">
        <f t="shared" si="214"/>
        <v>-0.0000673063927557778</v>
      </c>
      <c r="AG387" s="98" t="str">
        <f t="shared" si="215"/>
        <v>0.00309829720497862i</v>
      </c>
      <c r="AH387" s="98">
        <f t="shared" si="229"/>
        <v>3.0982972049786199E-3</v>
      </c>
      <c r="AI387" s="98">
        <f t="shared" si="230"/>
        <v>1.5707963267948966</v>
      </c>
      <c r="AJ387" s="98" t="str">
        <f t="shared" si="216"/>
        <v>1+3.11771802071519i</v>
      </c>
      <c r="AK387" s="98">
        <f t="shared" si="231"/>
        <v>3.2741664063838054</v>
      </c>
      <c r="AL387" s="98">
        <f t="shared" si="232"/>
        <v>1.2604155392763132</v>
      </c>
      <c r="AM387" s="98" t="str">
        <f t="shared" si="217"/>
        <v>1+461.605662243537i</v>
      </c>
      <c r="AN387" s="98">
        <f t="shared" si="233"/>
        <v>461.60674541788745</v>
      </c>
      <c r="AO387" s="98">
        <f t="shared" si="234"/>
        <v>1.5686299789412224</v>
      </c>
      <c r="AP387" s="168" t="str">
        <f t="shared" si="235"/>
        <v>-0.929094018844416+2.91837683765657i</v>
      </c>
      <c r="AQ387" s="98">
        <f t="shared" si="236"/>
        <v>9.7220927692865882</v>
      </c>
      <c r="AR387" s="169">
        <f t="shared" si="237"/>
        <v>107.65938657778888</v>
      </c>
      <c r="AS387" s="168" t="str">
        <f t="shared" si="238"/>
        <v>0.158875896663152+0.121418142053742i</v>
      </c>
      <c r="AT387" s="190">
        <f t="shared" si="239"/>
        <v>-13.981146762054706</v>
      </c>
      <c r="AU387" s="169">
        <f t="shared" si="240"/>
        <v>37.388242288796789</v>
      </c>
      <c r="AV387" s="225"/>
      <c r="AX387">
        <f t="shared" si="241"/>
        <v>0</v>
      </c>
      <c r="AY387">
        <f t="shared" si="242"/>
        <v>0</v>
      </c>
    </row>
    <row r="388" spans="14:51" x14ac:dyDescent="0.25">
      <c r="N388" s="170">
        <v>70</v>
      </c>
      <c r="O388" s="199">
        <f t="shared" si="243"/>
        <v>50118.723362727294</v>
      </c>
      <c r="P388" s="189" t="str">
        <f t="shared" si="209"/>
        <v>87</v>
      </c>
      <c r="Q388" s="160" t="str">
        <f t="shared" si="210"/>
        <v>1+2361.78919685465i</v>
      </c>
      <c r="R388" s="160">
        <f t="shared" si="218"/>
        <v>2361.7894085585472</v>
      </c>
      <c r="S388" s="160">
        <f t="shared" si="219"/>
        <v>1.5703729190066089</v>
      </c>
      <c r="T388" s="160" t="str">
        <f t="shared" si="211"/>
        <v>1+1.57452613123643i</v>
      </c>
      <c r="U388" s="160">
        <f t="shared" si="220"/>
        <v>1.8652432918915323</v>
      </c>
      <c r="V388" s="160">
        <f t="shared" si="221"/>
        <v>1.0049586842064098</v>
      </c>
      <c r="W388" s="98" t="str">
        <f t="shared" si="212"/>
        <v>1-0.223057868591828i</v>
      </c>
      <c r="X388" s="160">
        <f t="shared" si="222"/>
        <v>1.0245754304787564</v>
      </c>
      <c r="Y388" s="160">
        <f t="shared" si="223"/>
        <v>-0.21946512664776932</v>
      </c>
      <c r="Z388" s="98" t="str">
        <f t="shared" si="213"/>
        <v>0.982137696487043+0.468578976655962i</v>
      </c>
      <c r="AA388" s="160">
        <f t="shared" si="224"/>
        <v>1.0881914869290348</v>
      </c>
      <c r="AB388" s="160">
        <f t="shared" si="225"/>
        <v>0.44516125003688667</v>
      </c>
      <c r="AC388" s="171" t="str">
        <f t="shared" si="226"/>
        <v>0.0216201107333253-0.0609725888393563i</v>
      </c>
      <c r="AD388" s="190">
        <f t="shared" si="227"/>
        <v>-23.78295636240744</v>
      </c>
      <c r="AE388" s="169">
        <f t="shared" si="228"/>
        <v>-70.476135667773221</v>
      </c>
      <c r="AF388" s="98" t="str">
        <f t="shared" si="214"/>
        <v>-0.0000673063927557778</v>
      </c>
      <c r="AG388" s="98" t="str">
        <f t="shared" si="215"/>
        <v>0.00317046581785768i</v>
      </c>
      <c r="AH388" s="98">
        <f t="shared" si="229"/>
        <v>3.1704658178576799E-3</v>
      </c>
      <c r="AI388" s="98">
        <f t="shared" si="230"/>
        <v>1.5707963267948966</v>
      </c>
      <c r="AJ388" s="98" t="str">
        <f t="shared" si="216"/>
        <v>1+3.19033900250528i</v>
      </c>
      <c r="AK388" s="98">
        <f t="shared" si="231"/>
        <v>3.3433909359969234</v>
      </c>
      <c r="AL388" s="98">
        <f t="shared" si="232"/>
        <v>1.267049568687806</v>
      </c>
      <c r="AM388" s="98" t="str">
        <f t="shared" si="217"/>
        <v>1+472.357839370929i</v>
      </c>
      <c r="AN388" s="98">
        <f t="shared" si="233"/>
        <v>472.35889788927693</v>
      </c>
      <c r="AO388" s="98">
        <f t="shared" si="234"/>
        <v>1.5686792908896932</v>
      </c>
      <c r="AP388" s="168" t="str">
        <f t="shared" si="235"/>
        <v>-0.891018742035082+2.86388102569481i</v>
      </c>
      <c r="AQ388" s="98">
        <f t="shared" si="236"/>
        <v>9.5403636018614328</v>
      </c>
      <c r="AR388" s="169">
        <f t="shared" si="237"/>
        <v>107.28211005787152</v>
      </c>
      <c r="AS388" s="168" t="str">
        <f t="shared" si="238"/>
        <v>0.155354316396257+0.116245144308857i</v>
      </c>
      <c r="AT388" s="190">
        <f t="shared" si="239"/>
        <v>-14.242592760545993</v>
      </c>
      <c r="AU388" s="169">
        <f t="shared" si="240"/>
        <v>36.805974390098413</v>
      </c>
      <c r="AV388" s="225"/>
      <c r="AX388">
        <f t="shared" si="241"/>
        <v>0</v>
      </c>
      <c r="AY388">
        <f t="shared" si="242"/>
        <v>0</v>
      </c>
    </row>
    <row r="389" spans="14:51" x14ac:dyDescent="0.25">
      <c r="N389" s="170">
        <v>71</v>
      </c>
      <c r="O389" s="199">
        <f t="shared" si="243"/>
        <v>51286.138399136544</v>
      </c>
      <c r="P389" s="189" t="str">
        <f t="shared" si="209"/>
        <v>87</v>
      </c>
      <c r="Q389" s="160" t="str">
        <f t="shared" si="210"/>
        <v>1+2416.80233438576i</v>
      </c>
      <c r="R389" s="160">
        <f t="shared" si="218"/>
        <v>2416.8025412706884</v>
      </c>
      <c r="S389" s="160">
        <f t="shared" si="219"/>
        <v>1.5703825569434264</v>
      </c>
      <c r="T389" s="160" t="str">
        <f t="shared" si="211"/>
        <v>1+1.61120155625717i</v>
      </c>
      <c r="U389" s="160">
        <f t="shared" si="220"/>
        <v>1.8963044204150152</v>
      </c>
      <c r="V389" s="160">
        <f t="shared" si="221"/>
        <v>1.0153277443532094</v>
      </c>
      <c r="W389" s="98" t="str">
        <f t="shared" si="212"/>
        <v>1-0.2282535538031i</v>
      </c>
      <c r="X389" s="160">
        <f t="shared" si="222"/>
        <v>1.0257191062000086</v>
      </c>
      <c r="Y389" s="160">
        <f t="shared" si="223"/>
        <v>-0.22440905556057716</v>
      </c>
      <c r="Z389" s="98" t="str">
        <f t="shared" si="213"/>
        <v>0.981295872057633+0.479493583142134i</v>
      </c>
      <c r="AA389" s="160">
        <f t="shared" si="224"/>
        <v>1.0921793281287799</v>
      </c>
      <c r="AB389" s="160">
        <f t="shared" si="225"/>
        <v>0.45451275814176778</v>
      </c>
      <c r="AC389" s="171" t="str">
        <f t="shared" si="226"/>
        <v>0.0211872814761092-0.0605069736721446i</v>
      </c>
      <c r="AD389" s="190">
        <f t="shared" si="227"/>
        <v>-23.861587318962975</v>
      </c>
      <c r="AE389" s="169">
        <f t="shared" si="228"/>
        <v>-70.701652704355695</v>
      </c>
      <c r="AF389" s="98" t="str">
        <f t="shared" si="214"/>
        <v>-0.0000673063927557778</v>
      </c>
      <c r="AG389" s="98" t="str">
        <f t="shared" si="215"/>
        <v>0.00324431545367943i</v>
      </c>
      <c r="AH389" s="98">
        <f t="shared" si="229"/>
        <v>3.2443154536794302E-3</v>
      </c>
      <c r="AI389" s="98">
        <f t="shared" si="230"/>
        <v>1.5707963267948966</v>
      </c>
      <c r="AJ389" s="98" t="str">
        <f t="shared" si="216"/>
        <v>1+3.26465154426363i</v>
      </c>
      <c r="AK389" s="98">
        <f t="shared" si="231"/>
        <v>3.414373984416895</v>
      </c>
      <c r="AL389" s="98">
        <f t="shared" si="232"/>
        <v>1.2735593580150419</v>
      </c>
      <c r="AM389" s="98" t="str">
        <f t="shared" si="217"/>
        <v>1+483.360466877151i</v>
      </c>
      <c r="AN389" s="98">
        <f t="shared" si="233"/>
        <v>483.3615013007319</v>
      </c>
      <c r="AO389" s="98">
        <f t="shared" si="234"/>
        <v>1.5687274803711255</v>
      </c>
      <c r="AP389" s="168" t="str">
        <f t="shared" si="235"/>
        <v>-0.854356215654872+2.80992128464921i</v>
      </c>
      <c r="AQ389" s="98">
        <f t="shared" si="236"/>
        <v>9.3578841670973283</v>
      </c>
      <c r="AR389" s="169">
        <f t="shared" si="237"/>
        <v>106.91188765780467</v>
      </c>
      <c r="AS389" s="168" t="str">
        <f t="shared" si="238"/>
        <v>0.151918347569125+0.111229102230836i</v>
      </c>
      <c r="AT389" s="190">
        <f t="shared" si="239"/>
        <v>-14.503703151865642</v>
      </c>
      <c r="AU389" s="169">
        <f t="shared" si="240"/>
        <v>36.210234953449138</v>
      </c>
      <c r="AV389" s="225"/>
      <c r="AX389">
        <f t="shared" si="241"/>
        <v>0</v>
      </c>
      <c r="AY389">
        <f t="shared" si="242"/>
        <v>0</v>
      </c>
    </row>
    <row r="390" spans="14:51" x14ac:dyDescent="0.25">
      <c r="N390" s="170">
        <v>72</v>
      </c>
      <c r="O390" s="199">
        <f t="shared" si="243"/>
        <v>52480.746024977314</v>
      </c>
      <c r="P390" s="189" t="str">
        <f t="shared" si="209"/>
        <v>87</v>
      </c>
      <c r="Q390" s="160" t="str">
        <f t="shared" si="210"/>
        <v>1+2473.09689250471i</v>
      </c>
      <c r="R390" s="160">
        <f t="shared" si="218"/>
        <v>2473.0970946803632</v>
      </c>
      <c r="S390" s="160">
        <f t="shared" si="219"/>
        <v>1.570391975494092</v>
      </c>
      <c r="T390" s="160" t="str">
        <f t="shared" si="211"/>
        <v>1+1.64873126166981i</v>
      </c>
      <c r="U390" s="160">
        <f t="shared" si="220"/>
        <v>1.9282932280146927</v>
      </c>
      <c r="V390" s="160">
        <f t="shared" si="221"/>
        <v>1.0255913899379967</v>
      </c>
      <c r="W390" s="98" t="str">
        <f t="shared" si="212"/>
        <v>1-0.23357026206989i</v>
      </c>
      <c r="X390" s="160">
        <f t="shared" si="222"/>
        <v>1.0269153165297502</v>
      </c>
      <c r="Y390" s="160">
        <f t="shared" si="223"/>
        <v>-0.22945661681774918</v>
      </c>
      <c r="Z390" s="98" t="str">
        <f t="shared" si="213"/>
        <v>0.980414373665151+0.490662423472934i</v>
      </c>
      <c r="AA390" s="160">
        <f t="shared" si="224"/>
        <v>1.0963402564430274</v>
      </c>
      <c r="AB390" s="160">
        <f t="shared" si="225"/>
        <v>0.46401900468425727</v>
      </c>
      <c r="AC390" s="171" t="str">
        <f t="shared" si="226"/>
        <v>0.0207407929922734-0.0600585137297202i</v>
      </c>
      <c r="AD390" s="190">
        <f t="shared" si="227"/>
        <v>-23.939191367344627</v>
      </c>
      <c r="AE390" s="169">
        <f t="shared" si="228"/>
        <v>-70.948000535896824</v>
      </c>
      <c r="AF390" s="98" t="str">
        <f t="shared" si="214"/>
        <v>-0.0000673063927557778</v>
      </c>
      <c r="AG390" s="98" t="str">
        <f t="shared" si="215"/>
        <v>0.00331988526849832i</v>
      </c>
      <c r="AH390" s="98">
        <f t="shared" si="229"/>
        <v>3.3198852684983202E-3</v>
      </c>
      <c r="AI390" s="98">
        <f t="shared" si="230"/>
        <v>1.5707963267948966</v>
      </c>
      <c r="AJ390" s="98" t="str">
        <f t="shared" si="216"/>
        <v>1+3.34069504748351i</v>
      </c>
      <c r="AK390" s="98">
        <f t="shared" si="231"/>
        <v>3.4871540545666826</v>
      </c>
      <c r="AL390" s="98">
        <f t="shared" si="232"/>
        <v>1.2799461510932104</v>
      </c>
      <c r="AM390" s="98" t="str">
        <f t="shared" si="217"/>
        <v>1+494.619378500941i</v>
      </c>
      <c r="AN390" s="98">
        <f t="shared" si="233"/>
        <v>494.62038937821507</v>
      </c>
      <c r="AO390" s="98">
        <f t="shared" si="234"/>
        <v>1.5687745729353246</v>
      </c>
      <c r="AP390" s="168" t="str">
        <f t="shared" si="235"/>
        <v>-0.819065989454126+2.75652340501021i</v>
      </c>
      <c r="AQ390" s="98">
        <f t="shared" si="236"/>
        <v>9.1746824251737742</v>
      </c>
      <c r="AR390" s="169">
        <f t="shared" si="237"/>
        <v>106.54864957497726</v>
      </c>
      <c r="AS390" s="168" t="str">
        <f t="shared" si="238"/>
        <v>0.148564620631821+0.106364367294851i</v>
      </c>
      <c r="AT390" s="190">
        <f t="shared" si="239"/>
        <v>-14.764508942170853</v>
      </c>
      <c r="AU390" s="169">
        <f t="shared" si="240"/>
        <v>35.600649039080494</v>
      </c>
      <c r="AV390" s="225"/>
      <c r="AX390">
        <f t="shared" si="241"/>
        <v>0</v>
      </c>
      <c r="AY390">
        <f t="shared" si="242"/>
        <v>0</v>
      </c>
    </row>
    <row r="391" spans="14:51" x14ac:dyDescent="0.25">
      <c r="N391" s="170">
        <v>73</v>
      </c>
      <c r="O391" s="199">
        <f t="shared" si="243"/>
        <v>53703.179637025423</v>
      </c>
      <c r="P391" s="189" t="str">
        <f t="shared" si="209"/>
        <v>87</v>
      </c>
      <c r="Q391" s="160" t="str">
        <f t="shared" si="210"/>
        <v>1+2530.70271933139i</v>
      </c>
      <c r="R391" s="160">
        <f t="shared" si="218"/>
        <v>2530.7029169049638</v>
      </c>
      <c r="S391" s="160">
        <f t="shared" si="219"/>
        <v>1.5704011796524393</v>
      </c>
      <c r="T391" s="160" t="str">
        <f t="shared" si="211"/>
        <v>1+1.68713514622092i</v>
      </c>
      <c r="U391" s="160">
        <f t="shared" si="220"/>
        <v>1.9612304815125339</v>
      </c>
      <c r="V391" s="160">
        <f t="shared" si="221"/>
        <v>1.0357464128914771</v>
      </c>
      <c r="W391" s="98" t="str">
        <f t="shared" si="212"/>
        <v>1-0.239010812381298i</v>
      </c>
      <c r="X391" s="160">
        <f t="shared" si="222"/>
        <v>1.0281664108670192</v>
      </c>
      <c r="Y391" s="160">
        <f t="shared" si="223"/>
        <v>-0.2346094574341252</v>
      </c>
      <c r="Z391" s="98" t="str">
        <f t="shared" si="213"/>
        <v>0.979491331533322+0.502091419515346i</v>
      </c>
      <c r="AA391" s="160">
        <f t="shared" si="224"/>
        <v>1.1006811809510759</v>
      </c>
      <c r="AB391" s="160">
        <f t="shared" si="225"/>
        <v>0.4736800900467516</v>
      </c>
      <c r="AC391" s="171" t="str">
        <f t="shared" si="226"/>
        <v>0.0202804792872039-0.0596262608790285i</v>
      </c>
      <c r="AD391" s="190">
        <f t="shared" si="227"/>
        <v>-24.015828158159621</v>
      </c>
      <c r="AE391" s="169">
        <f t="shared" si="228"/>
        <v>-71.215463375839633</v>
      </c>
      <c r="AF391" s="98" t="str">
        <f t="shared" si="214"/>
        <v>-0.0000673063927557778</v>
      </c>
      <c r="AG391" s="98" t="str">
        <f t="shared" si="215"/>
        <v>0.00339721533043045i</v>
      </c>
      <c r="AH391" s="98">
        <f t="shared" si="229"/>
        <v>3.3972153304304498E-3</v>
      </c>
      <c r="AI391" s="98">
        <f t="shared" si="230"/>
        <v>1.5707963267948966</v>
      </c>
      <c r="AJ391" s="98" t="str">
        <f t="shared" si="216"/>
        <v>1+3.41850983143691i</v>
      </c>
      <c r="AK391" s="98">
        <f t="shared" si="231"/>
        <v>3.5617705523560628</v>
      </c>
      <c r="AL391" s="98">
        <f t="shared" si="232"/>
        <v>1.2862112493167117</v>
      </c>
      <c r="AM391" s="98" t="str">
        <f t="shared" si="217"/>
        <v>1+506.140543866276i</v>
      </c>
      <c r="AN391" s="98">
        <f t="shared" si="233"/>
        <v>506.14153173321961</v>
      </c>
      <c r="AO391" s="98">
        <f t="shared" si="234"/>
        <v>1.568820593550555</v>
      </c>
      <c r="AP391" s="168" t="str">
        <f t="shared" si="235"/>
        <v>-0.785107783224557+2.70371090017739i</v>
      </c>
      <c r="AQ391" s="98">
        <f t="shared" si="236"/>
        <v>8.9907855256443749</v>
      </c>
      <c r="AR391" s="169">
        <f t="shared" si="237"/>
        <v>106.192322675559</v>
      </c>
      <c r="AS391" s="168" t="str">
        <f t="shared" si="238"/>
        <v>0.145289809339542+0.101645594410338i</v>
      </c>
      <c r="AT391" s="190">
        <f t="shared" si="239"/>
        <v>-15.025042632515246</v>
      </c>
      <c r="AU391" s="169">
        <f t="shared" si="240"/>
        <v>34.976859299719308</v>
      </c>
      <c r="AV391" s="225"/>
      <c r="AX391">
        <f t="shared" si="241"/>
        <v>0</v>
      </c>
      <c r="AY391">
        <f t="shared" si="242"/>
        <v>0</v>
      </c>
    </row>
    <row r="392" spans="14:51" x14ac:dyDescent="0.25">
      <c r="N392" s="170">
        <v>74</v>
      </c>
      <c r="O392" s="199">
        <f t="shared" si="243"/>
        <v>54954.087385762505</v>
      </c>
      <c r="P392" s="189" t="str">
        <f t="shared" si="209"/>
        <v>87</v>
      </c>
      <c r="Q392" s="160" t="str">
        <f t="shared" si="210"/>
        <v>1+2589.65035823765i</v>
      </c>
      <c r="R392" s="160">
        <f t="shared" si="218"/>
        <v>2589.6505513139005</v>
      </c>
      <c r="S392" s="160">
        <f t="shared" si="219"/>
        <v>1.5704101742986283</v>
      </c>
      <c r="T392" s="160" t="str">
        <f t="shared" si="211"/>
        <v>1+1.72643357215843i</v>
      </c>
      <c r="U392" s="160">
        <f t="shared" si="220"/>
        <v>1.9951373083263511</v>
      </c>
      <c r="V392" s="160">
        <f t="shared" si="221"/>
        <v>1.0457898191968269</v>
      </c>
      <c r="W392" s="98" t="str">
        <f t="shared" si="212"/>
        <v>1-0.244578089389111i</v>
      </c>
      <c r="X392" s="160">
        <f t="shared" si="222"/>
        <v>1.0294748378708574</v>
      </c>
      <c r="Y392" s="160">
        <f t="shared" si="223"/>
        <v>-0.23986921449445123</v>
      </c>
      <c r="Z392" s="98" t="str">
        <f t="shared" si="213"/>
        <v>0.97852478776603+0.513786631074349i</v>
      </c>
      <c r="AA392" s="160">
        <f t="shared" si="224"/>
        <v>1.1052092392589212</v>
      </c>
      <c r="AB392" s="160">
        <f t="shared" si="225"/>
        <v>0.48349596361160846</v>
      </c>
      <c r="AC392" s="171" t="str">
        <f t="shared" si="226"/>
        <v>0.0198061945172722-0.0592092562480167i</v>
      </c>
      <c r="AD392" s="190">
        <f t="shared" si="227"/>
        <v>-24.091557846606285</v>
      </c>
      <c r="AE392" s="169">
        <f t="shared" si="228"/>
        <v>-71.504303946194042</v>
      </c>
      <c r="AF392" s="98" t="str">
        <f t="shared" si="214"/>
        <v>-0.0000673063927557778</v>
      </c>
      <c r="AG392" s="98" t="str">
        <f t="shared" si="215"/>
        <v>0.00347634664089821i</v>
      </c>
      <c r="AH392" s="98">
        <f t="shared" si="229"/>
        <v>3.4763466408982099E-3</v>
      </c>
      <c r="AI392" s="98">
        <f t="shared" si="230"/>
        <v>1.5707963267948966</v>
      </c>
      <c r="AJ392" s="98" t="str">
        <f t="shared" si="216"/>
        <v>1+3.49813715455224i</v>
      </c>
      <c r="AK392" s="98">
        <f t="shared" si="231"/>
        <v>3.6382638101241147</v>
      </c>
      <c r="AL392" s="98">
        <f t="shared" si="232"/>
        <v>1.2923560064658948</v>
      </c>
      <c r="AM392" s="98" t="str">
        <f t="shared" si="217"/>
        <v>1+517.930071647529i</v>
      </c>
      <c r="AN392" s="98">
        <f t="shared" si="233"/>
        <v>517.93103702791791</v>
      </c>
      <c r="AO392" s="98">
        <f t="shared" si="234"/>
        <v>1.5688655666167763</v>
      </c>
      <c r="AP392" s="168" t="str">
        <f t="shared" si="235"/>
        <v>-0.752441581748173+2.65150509694158i</v>
      </c>
      <c r="AQ392" s="98">
        <f t="shared" si="236"/>
        <v>8.8062198118156712</v>
      </c>
      <c r="AR392" s="169">
        <f t="shared" si="237"/>
        <v>105.84283079166423</v>
      </c>
      <c r="AS392" s="168" t="str">
        <f t="shared" si="238"/>
        <v>0.142090640396748+0.0970677321389542i</v>
      </c>
      <c r="AT392" s="190">
        <f t="shared" si="239"/>
        <v>-15.285338034790616</v>
      </c>
      <c r="AU392" s="169">
        <f t="shared" si="240"/>
        <v>34.338526845470184</v>
      </c>
      <c r="AV392" s="225"/>
      <c r="AX392">
        <f t="shared" si="241"/>
        <v>0</v>
      </c>
      <c r="AY392">
        <f t="shared" si="242"/>
        <v>0</v>
      </c>
    </row>
    <row r="393" spans="14:51" x14ac:dyDescent="0.25">
      <c r="N393" s="170">
        <v>75</v>
      </c>
      <c r="O393" s="199">
        <f t="shared" si="243"/>
        <v>56234.132519034953</v>
      </c>
      <c r="P393" s="189" t="str">
        <f t="shared" si="209"/>
        <v>87</v>
      </c>
      <c r="Q393" s="160" t="str">
        <f t="shared" si="210"/>
        <v>1+2649.97106404193i</v>
      </c>
      <c r="R393" s="160">
        <f t="shared" si="218"/>
        <v>2649.9712527232286</v>
      </c>
      <c r="S393" s="160">
        <f t="shared" si="219"/>
        <v>1.5704189642017341</v>
      </c>
      <c r="T393" s="160" t="str">
        <f t="shared" si="211"/>
        <v>1+1.76664737602795i</v>
      </c>
      <c r="U393" s="160">
        <f t="shared" si="220"/>
        <v>2.0300352093563405</v>
      </c>
      <c r="V393" s="160">
        <f t="shared" si="221"/>
        <v>1.0557188288059287</v>
      </c>
      <c r="W393" s="98" t="str">
        <f t="shared" si="212"/>
        <v>1-0.250275044937293i</v>
      </c>
      <c r="X393" s="160">
        <f t="shared" si="222"/>
        <v>1.030843149134903</v>
      </c>
      <c r="Y393" s="160">
        <f t="shared" si="223"/>
        <v>-0.24523751219262305</v>
      </c>
      <c r="Z393" s="98" t="str">
        <f t="shared" si="213"/>
        <v>0.977512692194358+0.525754259105918i</v>
      </c>
      <c r="AA393" s="160">
        <f t="shared" si="224"/>
        <v>1.1099318016748032</v>
      </c>
      <c r="AB393" s="160">
        <f t="shared" si="225"/>
        <v>0.4934664175765377</v>
      </c>
      <c r="AC393" s="171" t="str">
        <f t="shared" si="226"/>
        <v>0.019317814759344-0.0588065306026333i</v>
      </c>
      <c r="AD393" s="190">
        <f t="shared" si="227"/>
        <v>-24.166440910454952</v>
      </c>
      <c r="AE393" s="169">
        <f t="shared" si="228"/>
        <v>-71.814762958492992</v>
      </c>
      <c r="AF393" s="98" t="str">
        <f t="shared" si="214"/>
        <v>-0.0000673063927557778</v>
      </c>
      <c r="AG393" s="98" t="str">
        <f t="shared" si="215"/>
        <v>0.00355732115636988i</v>
      </c>
      <c r="AH393" s="98">
        <f t="shared" si="229"/>
        <v>3.5573211563698802E-3</v>
      </c>
      <c r="AI393" s="98">
        <f t="shared" si="230"/>
        <v>1.5707963267948966</v>
      </c>
      <c r="AJ393" s="98" t="str">
        <f t="shared" si="216"/>
        <v>1+3.57961923629024i</v>
      </c>
      <c r="AK393" s="98">
        <f t="shared" si="231"/>
        <v>3.7166751104742959</v>
      </c>
      <c r="AL393" s="98">
        <f t="shared" si="232"/>
        <v>1.2983818237447575</v>
      </c>
      <c r="AM393" s="98" t="str">
        <f t="shared" si="217"/>
        <v>1+529.994212808385i</v>
      </c>
      <c r="AN393" s="98">
        <f t="shared" si="233"/>
        <v>529.99515621407306</v>
      </c>
      <c r="AO393" s="98">
        <f t="shared" si="234"/>
        <v>1.5689095159785751</v>
      </c>
      <c r="AP393" s="168" t="str">
        <f t="shared" si="235"/>
        <v>-0.721027720899655+2.59992522712822i</v>
      </c>
      <c r="AQ393" s="98">
        <f t="shared" si="236"/>
        <v>8.621010826943218</v>
      </c>
      <c r="AR393" s="169">
        <f t="shared" si="237"/>
        <v>105.50009500641168</v>
      </c>
      <c r="AS393" s="168" t="str">
        <f t="shared" si="238"/>
        <v>0.138963902484982+0.0926260126602408i</v>
      </c>
      <c r="AT393" s="190">
        <f t="shared" si="239"/>
        <v>-15.545430083511761</v>
      </c>
      <c r="AU393" s="169">
        <f t="shared" si="240"/>
        <v>33.685332047918791</v>
      </c>
      <c r="AV393" s="225"/>
      <c r="AX393">
        <f t="shared" si="241"/>
        <v>0</v>
      </c>
      <c r="AY393">
        <f t="shared" si="242"/>
        <v>0</v>
      </c>
    </row>
    <row r="394" spans="14:51" x14ac:dyDescent="0.25">
      <c r="N394" s="170">
        <v>76</v>
      </c>
      <c r="O394" s="199">
        <f t="shared" si="243"/>
        <v>57543.993733715732</v>
      </c>
      <c r="P394" s="189" t="str">
        <f t="shared" si="209"/>
        <v>87</v>
      </c>
      <c r="Q394" s="160" t="str">
        <f t="shared" si="210"/>
        <v>1+2711.69681958088i</v>
      </c>
      <c r="R394" s="160">
        <f t="shared" si="218"/>
        <v>2711.6970039672683</v>
      </c>
      <c r="S394" s="160">
        <f t="shared" si="219"/>
        <v>1.5704275540222739</v>
      </c>
      <c r="T394" s="160" t="str">
        <f t="shared" si="211"/>
        <v>1+1.80779787972058i</v>
      </c>
      <c r="U394" s="160">
        <f t="shared" si="220"/>
        <v>2.0659460723654486</v>
      </c>
      <c r="V394" s="160">
        <f t="shared" si="221"/>
        <v>1.0655308747440027</v>
      </c>
      <c r="W394" s="98" t="str">
        <f t="shared" si="212"/>
        <v>1-0.256104699627083i</v>
      </c>
      <c r="X394" s="160">
        <f t="shared" si="222"/>
        <v>1.0322740029522579</v>
      </c>
      <c r="Y394" s="160">
        <f t="shared" si="223"/>
        <v>-0.25071595868311908</v>
      </c>
      <c r="Z394" s="98" t="str">
        <f t="shared" si="213"/>
        <v>0.976452898027904+0.538000649004846i</v>
      </c>
      <c r="AA394" s="160">
        <f t="shared" si="224"/>
        <v>1.1148564752454586</v>
      </c>
      <c r="AB394" s="160">
        <f t="shared" si="225"/>
        <v>0.50359108099332361</v>
      </c>
      <c r="AC394" s="171" t="str">
        <f t="shared" si="226"/>
        <v>0.0188152397946364-0.0584171048777164i</v>
      </c>
      <c r="AD394" s="190">
        <f t="shared" si="227"/>
        <v>-24.240537966245999</v>
      </c>
      <c r="AE394" s="169">
        <f t="shared" si="228"/>
        <v>-72.14705864328262</v>
      </c>
      <c r="AF394" s="98" t="str">
        <f t="shared" si="214"/>
        <v>-0.0000673063927557778</v>
      </c>
      <c r="AG394" s="98" t="str">
        <f t="shared" si="215"/>
        <v>0.00364018181060537i</v>
      </c>
      <c r="AH394" s="98">
        <f t="shared" si="229"/>
        <v>3.6401818106053699E-3</v>
      </c>
      <c r="AI394" s="98">
        <f t="shared" si="230"/>
        <v>1.5707963267948966</v>
      </c>
      <c r="AJ394" s="98" t="str">
        <f t="shared" si="216"/>
        <v>1+3.66299927952919i</v>
      </c>
      <c r="AK394" s="98">
        <f t="shared" si="231"/>
        <v>3.7970467105148136</v>
      </c>
      <c r="AL394" s="98">
        <f t="shared" si="232"/>
        <v>1.3042901450315483</v>
      </c>
      <c r="AM394" s="98" t="str">
        <f t="shared" si="217"/>
        <v>1+542.339363916175i</v>
      </c>
      <c r="AN394" s="98">
        <f t="shared" si="233"/>
        <v>542.34028584736473</v>
      </c>
      <c r="AO394" s="98">
        <f t="shared" si="234"/>
        <v>1.5689524649378053</v>
      </c>
      <c r="AP394" s="168" t="str">
        <f t="shared" si="235"/>
        <v>-0.690826965277944+2.5489885198029i</v>
      </c>
      <c r="AQ394" s="98">
        <f t="shared" si="236"/>
        <v>8.4351833220721595</v>
      </c>
      <c r="AR394" s="169">
        <f t="shared" si="237"/>
        <v>105.16403392676982</v>
      </c>
      <c r="AS394" s="168" t="str">
        <f t="shared" si="238"/>
        <v>0.135906454685116+0.088315941516863i</v>
      </c>
      <c r="AT394" s="190">
        <f t="shared" si="239"/>
        <v>-15.805354644173823</v>
      </c>
      <c r="AU394" s="169">
        <f t="shared" si="240"/>
        <v>33.016975283487128</v>
      </c>
      <c r="AV394" s="225"/>
      <c r="AX394">
        <f t="shared" si="241"/>
        <v>0</v>
      </c>
      <c r="AY394">
        <f t="shared" si="242"/>
        <v>0</v>
      </c>
    </row>
    <row r="395" spans="14:51" x14ac:dyDescent="0.25">
      <c r="N395" s="170">
        <v>77</v>
      </c>
      <c r="O395" s="199">
        <f t="shared" si="243"/>
        <v>58884.365535558936</v>
      </c>
      <c r="P395" s="189" t="str">
        <f t="shared" si="209"/>
        <v>87</v>
      </c>
      <c r="Q395" s="160" t="str">
        <f t="shared" si="210"/>
        <v>1+2774.86035266713i</v>
      </c>
      <c r="R395" s="160">
        <f t="shared" si="218"/>
        <v>2774.8605328563722</v>
      </c>
      <c r="S395" s="160">
        <f t="shared" si="219"/>
        <v>1.5704359483146795</v>
      </c>
      <c r="T395" s="160" t="str">
        <f t="shared" si="211"/>
        <v>1+1.84990690177808i</v>
      </c>
      <c r="U395" s="160">
        <f t="shared" si="220"/>
        <v>2.1028921858350644</v>
      </c>
      <c r="V395" s="160">
        <f t="shared" si="221"/>
        <v>1.0752236014497794</v>
      </c>
      <c r="W395" s="98" t="str">
        <f t="shared" si="212"/>
        <v>1-0.262070144418562i</v>
      </c>
      <c r="X395" s="160">
        <f t="shared" si="222"/>
        <v>1.0337701681687115</v>
      </c>
      <c r="Y395" s="160">
        <f t="shared" si="223"/>
        <v>-0.25630614273923574</v>
      </c>
      <c r="Z395" s="98" t="str">
        <f t="shared" si="213"/>
        <v>0.975343157301153+0.550532293969157i</v>
      </c>
      <c r="AA395" s="160">
        <f t="shared" si="224"/>
        <v>1.1199911076419866</v>
      </c>
      <c r="AB395" s="160">
        <f t="shared" si="225"/>
        <v>0.51386941407889197</v>
      </c>
      <c r="AC395" s="171" t="str">
        <f t="shared" si="226"/>
        <v>0.0182983948946776-0.0580399908684602i</v>
      </c>
      <c r="AD395" s="190">
        <f t="shared" si="227"/>
        <v>-24.313909584254766</v>
      </c>
      <c r="AE395" s="169">
        <f t="shared" si="228"/>
        <v>-72.501386327944218</v>
      </c>
      <c r="AF395" s="98" t="str">
        <f t="shared" si="214"/>
        <v>-0.0000673063927557778</v>
      </c>
      <c r="AG395" s="98" t="str">
        <f t="shared" si="215"/>
        <v>0.00372497253742034i</v>
      </c>
      <c r="AH395" s="98">
        <f t="shared" si="229"/>
        <v>3.72497253742034E-3</v>
      </c>
      <c r="AI395" s="98">
        <f t="shared" si="230"/>
        <v>1.5707963267948966</v>
      </c>
      <c r="AJ395" s="98" t="str">
        <f t="shared" si="216"/>
        <v>1+3.74832149347167i</v>
      </c>
      <c r="AK395" s="98">
        <f t="shared" si="231"/>
        <v>3.8794218665184754</v>
      </c>
      <c r="AL395" s="98">
        <f t="shared" si="232"/>
        <v>1.3100824523429546</v>
      </c>
      <c r="AM395" s="98" t="str">
        <f t="shared" si="217"/>
        <v>1+554.972070533424i</v>
      </c>
      <c r="AN395" s="98">
        <f t="shared" si="233"/>
        <v>554.97297147893221</v>
      </c>
      <c r="AO395" s="98">
        <f t="shared" si="234"/>
        <v>1.5689944362659394</v>
      </c>
      <c r="AP395" s="168" t="str">
        <f t="shared" si="235"/>
        <v>-0.661800577761611+2.49871029349935i</v>
      </c>
      <c r="AQ395" s="98">
        <f t="shared" si="236"/>
        <v>8.2487612653537283</v>
      </c>
      <c r="AR395" s="169">
        <f t="shared" si="237"/>
        <v>104.834563944146</v>
      </c>
      <c r="AS395" s="168" t="str">
        <f t="shared" si="238"/>
        <v>0.132915234304222+0.0841332871678725i</v>
      </c>
      <c r="AT395" s="190">
        <f t="shared" si="239"/>
        <v>-16.065148318901041</v>
      </c>
      <c r="AU395" s="169">
        <f t="shared" si="240"/>
        <v>32.333177616201809</v>
      </c>
      <c r="AV395" s="225"/>
      <c r="AX395">
        <f t="shared" si="241"/>
        <v>0</v>
      </c>
      <c r="AY395">
        <f t="shared" si="242"/>
        <v>0</v>
      </c>
    </row>
    <row r="396" spans="14:51" x14ac:dyDescent="0.25">
      <c r="N396" s="170">
        <v>78</v>
      </c>
      <c r="O396" s="199">
        <f t="shared" si="243"/>
        <v>60255.95860743591</v>
      </c>
      <c r="P396" s="189" t="str">
        <f t="shared" si="209"/>
        <v>87</v>
      </c>
      <c r="Q396" s="160" t="str">
        <f t="shared" si="210"/>
        <v>1+2839.49515344198i</v>
      </c>
      <c r="R396" s="160">
        <f t="shared" si="218"/>
        <v>2839.4953295296145</v>
      </c>
      <c r="S396" s="160">
        <f t="shared" si="219"/>
        <v>1.5704441515297107</v>
      </c>
      <c r="T396" s="160" t="str">
        <f t="shared" si="211"/>
        <v>1+1.89299676896132i</v>
      </c>
      <c r="U396" s="160">
        <f t="shared" si="220"/>
        <v>2.1408962532775839</v>
      </c>
      <c r="V396" s="160">
        <f t="shared" si="221"/>
        <v>1.0847948624014041</v>
      </c>
      <c r="W396" s="98" t="str">
        <f t="shared" si="212"/>
        <v>1-0.26817454226952i</v>
      </c>
      <c r="X396" s="160">
        <f t="shared" si="222"/>
        <v>1.0353345281219335</v>
      </c>
      <c r="Y396" s="160">
        <f t="shared" si="223"/>
        <v>-0.26200963021312207</v>
      </c>
      <c r="Z396" s="98" t="str">
        <f t="shared" si="213"/>
        <v>0.974181116105237+0.563355838442888i</v>
      </c>
      <c r="AA396" s="160">
        <f t="shared" si="224"/>
        <v>1.1253437908851387</v>
      </c>
      <c r="AB396" s="160">
        <f t="shared" si="225"/>
        <v>0.52430070284974628</v>
      </c>
      <c r="AC396" s="171" t="str">
        <f t="shared" si="226"/>
        <v>0.0177672325959406-0.0576741920882417i</v>
      </c>
      <c r="AD396" s="190">
        <f t="shared" si="227"/>
        <v>-24.386616102761881</v>
      </c>
      <c r="AE396" s="169">
        <f t="shared" si="228"/>
        <v>-72.877918062609055</v>
      </c>
      <c r="AF396" s="98" t="str">
        <f t="shared" si="214"/>
        <v>-0.0000673063927557778</v>
      </c>
      <c r="AG396" s="98" t="str">
        <f t="shared" si="215"/>
        <v>0.0038117382939805i</v>
      </c>
      <c r="AH396" s="98">
        <f t="shared" si="229"/>
        <v>3.8117382939804999E-3</v>
      </c>
      <c r="AI396" s="98">
        <f t="shared" si="230"/>
        <v>1.5707963267948966</v>
      </c>
      <c r="AJ396" s="98" t="str">
        <f t="shared" si="216"/>
        <v>1+3.8356311170849i</v>
      </c>
      <c r="AK396" s="98">
        <f t="shared" si="231"/>
        <v>3.9638448590163002</v>
      </c>
      <c r="AL396" s="98">
        <f t="shared" si="232"/>
        <v>1.3157602615113462</v>
      </c>
      <c r="AM396" s="98" t="str">
        <f t="shared" si="217"/>
        <v>1+567.899030688394i</v>
      </c>
      <c r="AN396" s="98">
        <f t="shared" si="233"/>
        <v>567.89991112591076</v>
      </c>
      <c r="AO396" s="98">
        <f t="shared" si="234"/>
        <v>1.5690354522161394</v>
      </c>
      <c r="AP396" s="168" t="str">
        <f t="shared" si="235"/>
        <v>-0.633910381396958+2.44910404798952i</v>
      </c>
      <c r="AQ396" s="98">
        <f t="shared" si="236"/>
        <v>8.0617678526819354</v>
      </c>
      <c r="AR396" s="169">
        <f t="shared" si="237"/>
        <v>104.5115994827557</v>
      </c>
      <c r="AS396" s="168" t="str">
        <f t="shared" si="238"/>
        <v>0.129987264116577+0.0800740703757082i</v>
      </c>
      <c r="AT396" s="190">
        <f t="shared" si="239"/>
        <v>-16.324848250079931</v>
      </c>
      <c r="AU396" s="169">
        <f t="shared" si="240"/>
        <v>31.633681420146623</v>
      </c>
      <c r="AV396" s="225"/>
      <c r="AX396">
        <f t="shared" si="241"/>
        <v>0</v>
      </c>
      <c r="AY396">
        <f t="shared" si="242"/>
        <v>0</v>
      </c>
    </row>
    <row r="397" spans="14:51" x14ac:dyDescent="0.25">
      <c r="N397" s="170">
        <v>79</v>
      </c>
      <c r="O397" s="199">
        <f t="shared" si="243"/>
        <v>61659.500186148245</v>
      </c>
      <c r="P397" s="189" t="str">
        <f t="shared" si="209"/>
        <v>87</v>
      </c>
      <c r="Q397" s="160" t="str">
        <f t="shared" si="210"/>
        <v>1+2905.63549213234i</v>
      </c>
      <c r="R397" s="160">
        <f t="shared" si="218"/>
        <v>2905.6356642117307</v>
      </c>
      <c r="S397" s="160">
        <f t="shared" si="219"/>
        <v>1.5704521680168166</v>
      </c>
      <c r="T397" s="160" t="str">
        <f t="shared" si="211"/>
        <v>1+1.93709032808822i</v>
      </c>
      <c r="U397" s="160">
        <f t="shared" si="220"/>
        <v>2.179981407987905</v>
      </c>
      <c r="V397" s="160">
        <f t="shared" si="221"/>
        <v>1.0942427170806168</v>
      </c>
      <c r="W397" s="98" t="str">
        <f t="shared" si="212"/>
        <v>1-0.274421129812498i</v>
      </c>
      <c r="X397" s="160">
        <f t="shared" si="222"/>
        <v>1.0369700846637611</v>
      </c>
      <c r="Y397" s="160">
        <f t="shared" si="223"/>
        <v>-0.26782796029315714</v>
      </c>
      <c r="Z397" s="98" t="str">
        <f t="shared" si="213"/>
        <v>0.972964309594982+0.576478081639054i</v>
      </c>
      <c r="AA397" s="160">
        <f t="shared" si="224"/>
        <v>1.1309228649009992</v>
      </c>
      <c r="AB397" s="160">
        <f t="shared" si="225"/>
        <v>0.53488405413249418</v>
      </c>
      <c r="AC397" s="171" t="str">
        <f t="shared" si="226"/>
        <v>0.0172217344485777-0.0573187047974703i</v>
      </c>
      <c r="AD397" s="190">
        <f t="shared" si="227"/>
        <v>-24.458717442163902</v>
      </c>
      <c r="AE397" s="169">
        <f t="shared" si="228"/>
        <v>-73.276802293920696</v>
      </c>
      <c r="AF397" s="98" t="str">
        <f t="shared" si="214"/>
        <v>-0.0000673063927557778</v>
      </c>
      <c r="AG397" s="98" t="str">
        <f t="shared" si="215"/>
        <v>0.00390052508463844i</v>
      </c>
      <c r="AH397" s="98">
        <f t="shared" si="229"/>
        <v>3.9005250846384401E-3</v>
      </c>
      <c r="AI397" s="98">
        <f t="shared" si="230"/>
        <v>1.5707963267948966</v>
      </c>
      <c r="AJ397" s="98" t="str">
        <f t="shared" si="216"/>
        <v>1+3.92497444308698i</v>
      </c>
      <c r="AK397" s="98">
        <f t="shared" si="231"/>
        <v>4.050361018339717</v>
      </c>
      <c r="AL397" s="98">
        <f t="shared" si="232"/>
        <v>1.3213251180735031</v>
      </c>
      <c r="AM397" s="98" t="str">
        <f t="shared" si="217"/>
        <v>1+581.127098426466i</v>
      </c>
      <c r="AN397" s="98">
        <f t="shared" si="233"/>
        <v>581.12795882280818</v>
      </c>
      <c r="AO397" s="98">
        <f t="shared" si="234"/>
        <v>1.5690755345350527</v>
      </c>
      <c r="AP397" s="168" t="str">
        <f t="shared" si="235"/>
        <v>-0.607118814035238+2.40018155516945i</v>
      </c>
      <c r="AQ397" s="98">
        <f t="shared" si="236"/>
        <v>7.8742255194989834</v>
      </c>
      <c r="AR397" s="169">
        <f t="shared" si="237"/>
        <v>104.19505323585524</v>
      </c>
      <c r="AS397" s="168" t="str">
        <f t="shared" si="238"/>
        <v>0.127119659027041+0.0761345534501786i</v>
      </c>
      <c r="AT397" s="190">
        <f t="shared" si="239"/>
        <v>-16.584491922664895</v>
      </c>
      <c r="AU397" s="169">
        <f t="shared" si="240"/>
        <v>30.918250941934474</v>
      </c>
      <c r="AV397" s="225"/>
      <c r="AX397">
        <f t="shared" si="241"/>
        <v>0</v>
      </c>
      <c r="AY397">
        <f t="shared" si="242"/>
        <v>0</v>
      </c>
    </row>
    <row r="398" spans="14:51" x14ac:dyDescent="0.25">
      <c r="N398" s="170">
        <v>80</v>
      </c>
      <c r="O398" s="199">
        <f t="shared" si="243"/>
        <v>63095.734448019342</v>
      </c>
      <c r="P398" s="189" t="str">
        <f t="shared" si="209"/>
        <v>87</v>
      </c>
      <c r="Q398" s="160" t="str">
        <f t="shared" si="210"/>
        <v>1+2973.31643722126i</v>
      </c>
      <c r="R398" s="160">
        <f t="shared" si="218"/>
        <v>2973.3166053836458</v>
      </c>
      <c r="S398" s="160">
        <f t="shared" si="219"/>
        <v>1.5704600020264405</v>
      </c>
      <c r="T398" s="160" t="str">
        <f t="shared" si="211"/>
        <v>1+1.9822109581475i</v>
      </c>
      <c r="U398" s="160">
        <f t="shared" si="220"/>
        <v>2.220171228216425</v>
      </c>
      <c r="V398" s="160">
        <f t="shared" si="221"/>
        <v>1.1035654273293698</v>
      </c>
      <c r="W398" s="98" t="str">
        <f t="shared" si="212"/>
        <v>1-0.280813219070896i</v>
      </c>
      <c r="X398" s="160">
        <f t="shared" si="222"/>
        <v>1.0386799622621778</v>
      </c>
      <c r="Y398" s="160">
        <f t="shared" si="223"/>
        <v>-0.27376264155482305</v>
      </c>
      <c r="Z398" s="98" t="str">
        <f t="shared" si="213"/>
        <v>0.97169015676064+0.589905981144696i</v>
      </c>
      <c r="AA398" s="160">
        <f t="shared" si="224"/>
        <v>1.1367369208993801</v>
      </c>
      <c r="AB398" s="160">
        <f t="shared" si="225"/>
        <v>0.54561839100453857</v>
      </c>
      <c r="AC398" s="171" t="str">
        <f t="shared" si="226"/>
        <v>0.0166619127236185-0.0569725192068562i</v>
      </c>
      <c r="AD398" s="190">
        <f t="shared" si="227"/>
        <v>-24.530272919454962</v>
      </c>
      <c r="AE398" s="169">
        <f t="shared" si="228"/>
        <v>-73.698163586420449</v>
      </c>
      <c r="AF398" s="98" t="str">
        <f t="shared" si="214"/>
        <v>-0.0000673063927557778</v>
      </c>
      <c r="AG398" s="98" t="str">
        <f t="shared" si="215"/>
        <v>0.00399137998532581i</v>
      </c>
      <c r="AH398" s="98">
        <f t="shared" si="229"/>
        <v>3.9913799853258103E-3</v>
      </c>
      <c r="AI398" s="98">
        <f t="shared" si="230"/>
        <v>1.5707963267948966</v>
      </c>
      <c r="AJ398" s="98" t="str">
        <f t="shared" si="216"/>
        <v>1+4.01639884249195i</v>
      </c>
      <c r="AK398" s="98">
        <f t="shared" si="231"/>
        <v>4.1390167506269728</v>
      </c>
      <c r="AL398" s="98">
        <f t="shared" si="232"/>
        <v>1.3267785933683418</v>
      </c>
      <c r="AM398" s="98" t="str">
        <f t="shared" si="217"/>
        <v>1+594.66328744425i</v>
      </c>
      <c r="AN398" s="98">
        <f t="shared" si="233"/>
        <v>594.66412825560849</v>
      </c>
      <c r="AO398" s="98">
        <f t="shared" si="234"/>
        <v>1.5691147044743399</v>
      </c>
      <c r="AP398" s="168" t="str">
        <f t="shared" si="235"/>
        <v>-0.58138897613984+2.35195294868757i</v>
      </c>
      <c r="AQ398" s="98">
        <f t="shared" si="236"/>
        <v>7.6861559536292168</v>
      </c>
      <c r="AR398" s="169">
        <f t="shared" si="237"/>
        <v>103.88483638998711</v>
      </c>
      <c r="AS398" s="168" t="str">
        <f t="shared" si="238"/>
        <v>0.124309632163809+0.072311229370871i</v>
      </c>
      <c r="AT398" s="190">
        <f t="shared" si="239"/>
        <v>-16.84411696582573</v>
      </c>
      <c r="AU398" s="169">
        <f t="shared" si="240"/>
        <v>30.186672803566626</v>
      </c>
      <c r="AV398" s="225"/>
      <c r="AX398">
        <f t="shared" si="241"/>
        <v>0</v>
      </c>
      <c r="AY398">
        <f t="shared" si="242"/>
        <v>0</v>
      </c>
    </row>
    <row r="399" spans="14:51" x14ac:dyDescent="0.25">
      <c r="N399" s="170">
        <v>81</v>
      </c>
      <c r="O399" s="199">
        <f t="shared" si="243"/>
        <v>64565.422903465682</v>
      </c>
      <c r="P399" s="189" t="str">
        <f t="shared" si="209"/>
        <v>87</v>
      </c>
      <c r="Q399" s="160" t="str">
        <f t="shared" si="210"/>
        <v>1+3042.5738740417i</v>
      </c>
      <c r="R399" s="160">
        <f t="shared" si="218"/>
        <v>3042.5740383762427</v>
      </c>
      <c r="S399" s="160">
        <f t="shared" si="219"/>
        <v>1.5704676577122743</v>
      </c>
      <c r="T399" s="160" t="str">
        <f t="shared" si="211"/>
        <v>1+2.02838258269446i</v>
      </c>
      <c r="U399" s="160">
        <f t="shared" si="220"/>
        <v>2.2614897527466815</v>
      </c>
      <c r="V399" s="160">
        <f t="shared" si="221"/>
        <v>1.1127614531539416</v>
      </c>
      <c r="W399" s="98" t="str">
        <f t="shared" si="212"/>
        <v>1-0.287354199215049i</v>
      </c>
      <c r="X399" s="160">
        <f t="shared" si="222"/>
        <v>1.0404674121790274</v>
      </c>
      <c r="Y399" s="160">
        <f t="shared" si="223"/>
        <v>-0.2798151478019415</v>
      </c>
      <c r="Z399" s="98" t="str">
        <f t="shared" si="213"/>
        <v>0.97035595495322+0.603646656609871i</v>
      </c>
      <c r="AA399" s="160">
        <f t="shared" si="224"/>
        <v>1.1427948045688041</v>
      </c>
      <c r="AB399" s="160">
        <f t="shared" si="225"/>
        <v>0.55650244871981946</v>
      </c>
      <c r="AC399" s="171" t="str">
        <f t="shared" si="226"/>
        <v>0.0160878120620234-0.0566346208570007i</v>
      </c>
      <c r="AD399" s="190">
        <f t="shared" si="227"/>
        <v>-24.60134106361582</v>
      </c>
      <c r="AE399" s="169">
        <f t="shared" si="228"/>
        <v>-74.142102391365654</v>
      </c>
      <c r="AF399" s="98" t="str">
        <f t="shared" si="214"/>
        <v>-0.0000673063927557778</v>
      </c>
      <c r="AG399" s="98" t="str">
        <f t="shared" si="215"/>
        <v>0.00408435116851356i</v>
      </c>
      <c r="AH399" s="98">
        <f t="shared" si="229"/>
        <v>4.0843511685135598E-3</v>
      </c>
      <c r="AI399" s="98">
        <f t="shared" si="230"/>
        <v>1.5707963267948966</v>
      </c>
      <c r="AJ399" s="98" t="str">
        <f t="shared" si="216"/>
        <v>1+4.10995278972656i</v>
      </c>
      <c r="AK399" s="98">
        <f t="shared" si="231"/>
        <v>4.2298595643095691</v>
      </c>
      <c r="AL399" s="98">
        <f t="shared" si="232"/>
        <v>1.332122280840343</v>
      </c>
      <c r="AM399" s="98" t="str">
        <f t="shared" si="217"/>
        <v>1+608.514774808338i</v>
      </c>
      <c r="AN399" s="98">
        <f t="shared" si="233"/>
        <v>608.51559648051932</v>
      </c>
      <c r="AO399" s="98">
        <f t="shared" si="234"/>
        <v>1.5691529828019399</v>
      </c>
      <c r="AP399" s="168" t="str">
        <f t="shared" si="235"/>
        <v>-0.556684672183252+2.30442681199047i</v>
      </c>
      <c r="AQ399" s="98">
        <f t="shared" si="236"/>
        <v>7.4975801090072993</v>
      </c>
      <c r="AR399" s="169">
        <f t="shared" si="237"/>
        <v>103.5808588374228</v>
      </c>
      <c r="AS399" s="168" t="str">
        <f t="shared" si="238"/>
        <v>0.121554500405894+0.0686008108079926i</v>
      </c>
      <c r="AT399" s="190">
        <f t="shared" si="239"/>
        <v>-17.103760954608511</v>
      </c>
      <c r="AU399" s="169">
        <f t="shared" si="240"/>
        <v>29.438756446057113</v>
      </c>
      <c r="AV399" s="225"/>
      <c r="AX399">
        <f t="shared" si="241"/>
        <v>0</v>
      </c>
      <c r="AY399">
        <f t="shared" si="242"/>
        <v>0</v>
      </c>
    </row>
    <row r="400" spans="14:51" x14ac:dyDescent="0.25">
      <c r="N400" s="170">
        <v>82</v>
      </c>
      <c r="O400" s="199">
        <f t="shared" si="243"/>
        <v>66069.344800759733</v>
      </c>
      <c r="P400" s="189" t="str">
        <f t="shared" si="209"/>
        <v>87</v>
      </c>
      <c r="Q400" s="160" t="str">
        <f t="shared" si="210"/>
        <v>1+3113.44452380338i</v>
      </c>
      <c r="R400" s="160">
        <f t="shared" si="218"/>
        <v>3113.4446843972123</v>
      </c>
      <c r="S400" s="160">
        <f t="shared" si="219"/>
        <v>1.5704751391334602</v>
      </c>
      <c r="T400" s="160" t="str">
        <f t="shared" si="211"/>
        <v>1+2.07562968253558i</v>
      </c>
      <c r="U400" s="160">
        <f t="shared" si="220"/>
        <v>2.3039614968620357</v>
      </c>
      <c r="V400" s="160">
        <f t="shared" si="221"/>
        <v>1.1218294480320365</v>
      </c>
      <c r="W400" s="98" t="str">
        <f t="shared" si="212"/>
        <v>1-0.294047538359208i</v>
      </c>
      <c r="X400" s="160">
        <f t="shared" si="222"/>
        <v>1.0423358167189256</v>
      </c>
      <c r="Y400" s="160">
        <f t="shared" si="223"/>
        <v>-0.28598691369598478</v>
      </c>
      <c r="Z400" s="98" t="str">
        <f t="shared" si="213"/>
        <v>0.96895887415181+0.617707393522589i</v>
      </c>
      <c r="AA400" s="160">
        <f t="shared" si="224"/>
        <v>1.149105619083822</v>
      </c>
      <c r="AB400" s="160">
        <f t="shared" si="225"/>
        <v>0.56753477117492668</v>
      </c>
      <c r="AC400" s="171" t="str">
        <f t="shared" si="226"/>
        <v>0.0154995110481596-0.0563039921746038i</v>
      </c>
      <c r="AD400" s="190">
        <f t="shared" si="227"/>
        <v>-24.671979432448069</v>
      </c>
      <c r="AE400" s="169">
        <f t="shared" si="228"/>
        <v>-74.608694862840053</v>
      </c>
      <c r="AF400" s="98" t="str">
        <f t="shared" si="214"/>
        <v>-0.0000673063927557778</v>
      </c>
      <c r="AG400" s="98" t="str">
        <f t="shared" si="215"/>
        <v>0.00417948792875364i</v>
      </c>
      <c r="AH400" s="98">
        <f t="shared" si="229"/>
        <v>4.1794879287536399E-3</v>
      </c>
      <c r="AI400" s="98">
        <f t="shared" si="230"/>
        <v>1.5707963267948966</v>
      </c>
      <c r="AJ400" s="98" t="str">
        <f t="shared" si="216"/>
        <v>1+4.20568588833193i</v>
      </c>
      <c r="AK400" s="98">
        <f t="shared" si="231"/>
        <v>4.3229380970948839</v>
      </c>
      <c r="AL400" s="98">
        <f t="shared" si="232"/>
        <v>1.3373577925446689</v>
      </c>
      <c r="AM400" s="98" t="str">
        <f t="shared" si="217"/>
        <v>1+622.688904760674i</v>
      </c>
      <c r="AN400" s="98">
        <f t="shared" si="233"/>
        <v>622.68970772933744</v>
      </c>
      <c r="AO400" s="98">
        <f t="shared" si="234"/>
        <v>1.5691903898130801</v>
      </c>
      <c r="AP400" s="168" t="str">
        <f t="shared" si="235"/>
        <v>-0.532970446050369+2.2576102645078i</v>
      </c>
      <c r="AQ400" s="98">
        <f t="shared" si="236"/>
        <v>7.3085182201778744</v>
      </c>
      <c r="AR400" s="169">
        <f t="shared" si="237"/>
        <v>103.28302937703613</v>
      </c>
      <c r="AS400" s="168" t="str">
        <f t="shared" si="238"/>
        <v>0.118851689349252+0.0650002190608922i</v>
      </c>
      <c r="AT400" s="190">
        <f t="shared" si="239"/>
        <v>-17.363461212270202</v>
      </c>
      <c r="AU400" s="169">
        <f t="shared" si="240"/>
        <v>28.674334514196108</v>
      </c>
      <c r="AV400" s="225"/>
      <c r="AX400">
        <f t="shared" si="241"/>
        <v>0</v>
      </c>
      <c r="AY400">
        <f t="shared" si="242"/>
        <v>0</v>
      </c>
    </row>
    <row r="401" spans="14:51" x14ac:dyDescent="0.25">
      <c r="N401" s="170">
        <v>83</v>
      </c>
      <c r="O401" s="199">
        <f t="shared" si="243"/>
        <v>67608.297539198305</v>
      </c>
      <c r="P401" s="189" t="str">
        <f t="shared" si="209"/>
        <v>87</v>
      </c>
      <c r="Q401" s="160" t="str">
        <f t="shared" si="210"/>
        <v>1+3185.96596306289i</v>
      </c>
      <c r="R401" s="160">
        <f t="shared" si="218"/>
        <v>3185.9661200011606</v>
      </c>
      <c r="S401" s="160">
        <f t="shared" si="219"/>
        <v>1.5704824502567434</v>
      </c>
      <c r="T401" s="160" t="str">
        <f t="shared" si="211"/>
        <v>1+2.12397730870858i</v>
      </c>
      <c r="U401" s="160">
        <f t="shared" si="220"/>
        <v>2.3476114686866185</v>
      </c>
      <c r="V401" s="160">
        <f t="shared" si="221"/>
        <v>1.1307682537780466</v>
      </c>
      <c r="W401" s="98" t="str">
        <f t="shared" si="212"/>
        <v>1-0.300896785400384i</v>
      </c>
      <c r="X401" s="160">
        <f t="shared" si="222"/>
        <v>1.0442886935442155</v>
      </c>
      <c r="Y401" s="160">
        <f t="shared" si="223"/>
        <v>-0.29227933017212299</v>
      </c>
      <c r="Z401" s="98" t="str">
        <f t="shared" si="213"/>
        <v>0.96749595096072+0.632095647071675i</v>
      </c>
      <c r="AA401" s="160">
        <f t="shared" si="224"/>
        <v>1.1556787279224048</v>
      </c>
      <c r="AB401" s="160">
        <f t="shared" si="225"/>
        <v>0.5787137079706739</v>
      </c>
      <c r="AC401" s="171" t="str">
        <f t="shared" si="226"/>
        <v>0.0148971236895807-0.0559796142037556i</v>
      </c>
      <c r="AD401" s="190">
        <f t="shared" si="227"/>
        <v>-24.742244431404949</v>
      </c>
      <c r="AE401" s="169">
        <f t="shared" si="228"/>
        <v>-75.097992721074988</v>
      </c>
      <c r="AF401" s="98" t="str">
        <f t="shared" si="214"/>
        <v>-0.0000673063927557778</v>
      </c>
      <c r="AG401" s="98" t="str">
        <f t="shared" si="215"/>
        <v>0.0042768407088156i</v>
      </c>
      <c r="AH401" s="98">
        <f t="shared" si="229"/>
        <v>4.2768407088155996E-3</v>
      </c>
      <c r="AI401" s="98">
        <f t="shared" si="230"/>
        <v>1.5707963267948966</v>
      </c>
      <c r="AJ401" s="98" t="str">
        <f t="shared" si="216"/>
        <v>1+4.30364889726412i</v>
      </c>
      <c r="AK401" s="98">
        <f t="shared" si="231"/>
        <v>4.4183021434622001</v>
      </c>
      <c r="AL401" s="98">
        <f t="shared" si="232"/>
        <v>1.3424867558494116</v>
      </c>
      <c r="AM401" s="98" t="str">
        <f t="shared" si="217"/>
        <v>1+637.193192612575i</v>
      </c>
      <c r="AN401" s="98">
        <f t="shared" si="233"/>
        <v>637.19397730346304</v>
      </c>
      <c r="AO401" s="98">
        <f t="shared" si="234"/>
        <v>1.5692269453410339</v>
      </c>
      <c r="AP401" s="168" t="str">
        <f t="shared" si="235"/>
        <v>-0.51021161085726+2.2115090457396i</v>
      </c>
      <c r="AQ401" s="98">
        <f t="shared" si="236"/>
        <v>7.118989817448945</v>
      </c>
      <c r="AR401" s="169">
        <f t="shared" si="237"/>
        <v>102.99125590386645</v>
      </c>
      <c r="AS401" s="168" t="str">
        <f t="shared" si="238"/>
        <v>0.116198737713818+0.0615065729330755i</v>
      </c>
      <c r="AT401" s="190">
        <f t="shared" si="239"/>
        <v>-17.623254613955986</v>
      </c>
      <c r="AU401" s="169">
        <f t="shared" si="240"/>
        <v>27.893263182791401</v>
      </c>
      <c r="AV401" s="225"/>
      <c r="AX401">
        <f t="shared" si="241"/>
        <v>0</v>
      </c>
      <c r="AY401">
        <f t="shared" si="242"/>
        <v>0</v>
      </c>
    </row>
    <row r="402" spans="14:51" x14ac:dyDescent="0.25">
      <c r="N402" s="170">
        <v>84</v>
      </c>
      <c r="O402" s="199">
        <f t="shared" si="243"/>
        <v>69183.097091893651</v>
      </c>
      <c r="P402" s="189" t="str">
        <f t="shared" si="209"/>
        <v>87</v>
      </c>
      <c r="Q402" s="160" t="str">
        <f t="shared" si="210"/>
        <v>1+3260.17664364725i</v>
      </c>
      <c r="R402" s="160">
        <f t="shared" si="218"/>
        <v>3260.1767970131696</v>
      </c>
      <c r="S402" s="160">
        <f t="shared" si="219"/>
        <v>1.5704895949585751</v>
      </c>
      <c r="T402" s="160" t="str">
        <f t="shared" si="211"/>
        <v>1+2.17345109576482i</v>
      </c>
      <c r="U402" s="160">
        <f t="shared" si="220"/>
        <v>2.3924651858869956</v>
      </c>
      <c r="V402" s="160">
        <f t="shared" si="221"/>
        <v>1.1395768950209195</v>
      </c>
      <c r="W402" s="98" t="str">
        <f t="shared" si="212"/>
        <v>1-0.307905571900017i</v>
      </c>
      <c r="X402" s="160">
        <f t="shared" si="222"/>
        <v>1.046329700050169</v>
      </c>
      <c r="Y402" s="160">
        <f t="shared" si="223"/>
        <v>-0.29869373964172785</v>
      </c>
      <c r="Z402" s="98" t="str">
        <f t="shared" si="213"/>
        <v>0.965964082323723+0.646819046099612i</v>
      </c>
      <c r="AA402" s="160">
        <f t="shared" si="224"/>
        <v>1.162523757493465</v>
      </c>
      <c r="AB402" s="160">
        <f t="shared" si="225"/>
        <v>0.59003741212343097</v>
      </c>
      <c r="AC402" s="171" t="str">
        <f t="shared" si="226"/>
        <v>0.0142808007845053-0.0556604685088307i</v>
      </c>
      <c r="AD402" s="190">
        <f t="shared" si="227"/>
        <v>-24.812191134982434</v>
      </c>
      <c r="AE402" s="169">
        <f t="shared" si="228"/>
        <v>-75.610023162959052</v>
      </c>
      <c r="AF402" s="98" t="str">
        <f t="shared" si="214"/>
        <v>-0.0000673063927557778</v>
      </c>
      <c r="AG402" s="98" t="str">
        <f t="shared" si="215"/>
        <v>0.00437646112643205i</v>
      </c>
      <c r="AH402" s="98">
        <f t="shared" si="229"/>
        <v>4.3764611264320496E-3</v>
      </c>
      <c r="AI402" s="98">
        <f t="shared" si="230"/>
        <v>1.5707963267948966</v>
      </c>
      <c r="AJ402" s="98" t="str">
        <f t="shared" si="216"/>
        <v>1+4.40389375780715i</v>
      </c>
      <c r="AK402" s="98">
        <f t="shared" si="231"/>
        <v>4.5160026826888382</v>
      </c>
      <c r="AL402" s="98">
        <f t="shared" si="232"/>
        <v>1.3475108103298525</v>
      </c>
      <c r="AM402" s="98" t="str">
        <f t="shared" si="217"/>
        <v>1+652.035328729447i</v>
      </c>
      <c r="AN402" s="98">
        <f t="shared" si="233"/>
        <v>652.03609555861101</v>
      </c>
      <c r="AO402" s="98">
        <f t="shared" si="234"/>
        <v>1.5692626687676348</v>
      </c>
      <c r="AP402" s="168" t="str">
        <f t="shared" si="235"/>
        <v>-0.488374273585641+2.16612759704913i</v>
      </c>
      <c r="AQ402" s="98">
        <f t="shared" si="236"/>
        <v>6.9290137425914375</v>
      </c>
      <c r="AR402" s="169">
        <f t="shared" si="237"/>
        <v>102.70544558766737</v>
      </c>
      <c r="AS402" s="168" t="str">
        <f t="shared" si="238"/>
        <v>0.113593301192308+0.0581171775627144i</v>
      </c>
      <c r="AT402" s="190">
        <f t="shared" si="239"/>
        <v>-17.883177392391008</v>
      </c>
      <c r="AU402" s="169">
        <f t="shared" si="240"/>
        <v>27.095422424708357</v>
      </c>
      <c r="AV402" s="225"/>
      <c r="AX402">
        <f t="shared" si="241"/>
        <v>0</v>
      </c>
      <c r="AY402">
        <f t="shared" si="242"/>
        <v>0</v>
      </c>
    </row>
    <row r="403" spans="14:51" x14ac:dyDescent="0.25">
      <c r="N403" s="170">
        <v>85</v>
      </c>
      <c r="O403" s="199">
        <f t="shared" si="243"/>
        <v>70794.578438413781</v>
      </c>
      <c r="P403" s="189" t="str">
        <f t="shared" ref="P403:P466" si="244">COMPLEX(Adc,0)</f>
        <v>87</v>
      </c>
      <c r="Q403" s="160" t="str">
        <f t="shared" ref="Q403:Q466" si="245">IMSUM(COMPLEX(1,0),IMDIV(COMPLEX(0,2*PI()*O403),COMPLEX(wp_lf,0)))</f>
        <v>1+3336.11591304161i</v>
      </c>
      <c r="R403" s="160">
        <f t="shared" si="218"/>
        <v>3336.1160629164947</v>
      </c>
      <c r="S403" s="160">
        <f t="shared" si="219"/>
        <v>1.5704965770271679</v>
      </c>
      <c r="T403" s="160" t="str">
        <f t="shared" ref="T403:T466" si="246">IMSUM(COMPLEX(1,0),IMDIV(COMPLEX(0,2*PI()*O403),COMPLEX(wz_esr,0)))</f>
        <v>1+2.22407727536107i</v>
      </c>
      <c r="U403" s="160">
        <f t="shared" si="220"/>
        <v>2.4385486927222759</v>
      </c>
      <c r="V403" s="160">
        <f t="shared" si="221"/>
        <v>1.14825457334786</v>
      </c>
      <c r="W403" s="98" t="str">
        <f t="shared" ref="W403:W466" si="247">IMSUB(COMPLEX(1,0),IMDIV(COMPLEX(0,2*PI()*O403),COMPLEX(wz_rhp,0)))</f>
        <v>1-0.315077614009486i</v>
      </c>
      <c r="X403" s="160">
        <f t="shared" si="222"/>
        <v>1.0484626377939801</v>
      </c>
      <c r="Y403" s="160">
        <f t="shared" si="223"/>
        <v>-0.30523143098229405</v>
      </c>
      <c r="Z403" s="98" t="str">
        <f t="shared" ref="Z403:Z466" si="248">IF(Dc_Mode_Loop="CCM",IMSUM(COMPLEX(1,0),IMDIV(COMPLEX(0,2*PI()*O403),COMPLEX(Q*(wsl/2),0)),IMDIV(IMPOWER(COMPLEX(0,2*PI()*O403),2),IMPOWER(COMPLEX(wsl/2,0),2))),COMPLEX(1,0))</f>
        <v>0.96436001894206+0.661885397147455i</v>
      </c>
      <c r="AA403" s="160">
        <f t="shared" si="224"/>
        <v>1.1696505995770594</v>
      </c>
      <c r="AB403" s="160">
        <f t="shared" si="225"/>
        <v>0.60150383847905664</v>
      </c>
      <c r="AC403" s="171" t="str">
        <f t="shared" si="226"/>
        <v>0.0136507311581196-0.0553455392434063i</v>
      </c>
      <c r="AD403" s="190">
        <f t="shared" si="227"/>
        <v>-24.881873111252784</v>
      </c>
      <c r="AE403" s="169">
        <f t="shared" si="228"/>
        <v>-76.144788819764543</v>
      </c>
      <c r="AF403" s="98" t="str">
        <f t="shared" ref="AF403:AF466" si="249">COMPLEX(Adc_ea,0)</f>
        <v>-0.0000673063927557778</v>
      </c>
      <c r="AG403" s="98" t="str">
        <f t="shared" ref="AG403:AG466" si="250">COMPLEX(0,2*PI()*O403*wp0_ea)</f>
        <v>0.00447840200166705i</v>
      </c>
      <c r="AH403" s="98">
        <f t="shared" si="229"/>
        <v>4.4784020016670504E-3</v>
      </c>
      <c r="AI403" s="98">
        <f t="shared" si="230"/>
        <v>1.5707963267948966</v>
      </c>
      <c r="AJ403" s="98" t="str">
        <f t="shared" ref="AJ403:AJ466" si="251">IMSUM(COMPLEX(1,0),IMDIV(COMPLEX(0,2*PI()*O403),COMPLEX(wp1_ea,0)))</f>
        <v>1+4.50647362111301i</v>
      </c>
      <c r="AK403" s="98">
        <f t="shared" si="231"/>
        <v>4.6160919074242228</v>
      </c>
      <c r="AL403" s="98">
        <f t="shared" si="232"/>
        <v>1.3524316048492506</v>
      </c>
      <c r="AM403" s="98" t="str">
        <f t="shared" ref="AM403:AM466" si="252">IMSUM(COMPLEX(1,0),IMDIV(COMPLEX(0,2*PI()*O403),COMPLEX(wz_ea,0)))</f>
        <v>1+667.223182608321i</v>
      </c>
      <c r="AN403" s="98">
        <f t="shared" si="233"/>
        <v>667.22393198234204</v>
      </c>
      <c r="AO403" s="98">
        <f t="shared" si="234"/>
        <v>1.5692975790335517</v>
      </c>
      <c r="AP403" s="168" t="str">
        <f t="shared" si="235"/>
        <v>-0.467425354921518+2.12146914100018i</v>
      </c>
      <c r="AQ403" s="98">
        <f t="shared" si="236"/>
        <v>6.7386081649847664</v>
      </c>
      <c r="AR403" s="169">
        <f t="shared" si="237"/>
        <v>102.42550504075352</v>
      </c>
      <c r="AS403" s="168" t="str">
        <f t="shared" si="238"/>
        <v>0.111033155740379+0.0548295132282124i</v>
      </c>
      <c r="AT403" s="190">
        <f t="shared" si="239"/>
        <v>-18.14326494626799</v>
      </c>
      <c r="AU403" s="169">
        <f t="shared" si="240"/>
        <v>26.280716220988911</v>
      </c>
      <c r="AV403" s="225"/>
      <c r="AX403">
        <f t="shared" si="241"/>
        <v>0</v>
      </c>
      <c r="AY403">
        <f t="shared" si="242"/>
        <v>0</v>
      </c>
    </row>
    <row r="404" spans="14:51" x14ac:dyDescent="0.25">
      <c r="N404" s="170">
        <v>86</v>
      </c>
      <c r="O404" s="199">
        <f t="shared" si="243"/>
        <v>72443.596007499116</v>
      </c>
      <c r="P404" s="189" t="str">
        <f t="shared" si="244"/>
        <v>87</v>
      </c>
      <c r="Q404" s="160" t="str">
        <f t="shared" si="245"/>
        <v>1+3413.8240352518i</v>
      </c>
      <c r="R404" s="160">
        <f t="shared" ref="R404:R467" si="253">IMABS(Q404)</f>
        <v>3413.8241817151161</v>
      </c>
      <c r="S404" s="160">
        <f t="shared" ref="S404:S467" si="254">IMARGUMENT(Q404)</f>
        <v>1.5705034001645044</v>
      </c>
      <c r="T404" s="160" t="str">
        <f t="shared" si="246"/>
        <v>1+2.27588269016786i</v>
      </c>
      <c r="U404" s="160">
        <f t="shared" ref="U404:U467" si="255">IMABS(T404)</f>
        <v>2.485888577431759</v>
      </c>
      <c r="V404" s="160">
        <f t="shared" ref="V404:V467" si="256">IMARGUMENT(T404)</f>
        <v>1.1568006611654682</v>
      </c>
      <c r="W404" s="98" t="str">
        <f t="shared" si="247"/>
        <v>1-0.322416714440448i</v>
      </c>
      <c r="X404" s="160">
        <f t="shared" ref="X404:X467" si="257">IMABS(W404)</f>
        <v>1.050691456970396</v>
      </c>
      <c r="Y404" s="160">
        <f t="shared" ref="Y404:Y467" si="258">IMARGUMENT(W404)</f>
        <v>-0.31189363431703448</v>
      </c>
      <c r="Z404" s="98" t="str">
        <f t="shared" si="248"/>
        <v>0.962680358382238+0.677302688593955i</v>
      </c>
      <c r="AA404" s="160">
        <f t="shared" ref="AA404:AA467" si="259">IMABS(Z404)</f>
        <v>1.1770694135825441</v>
      </c>
      <c r="AB404" s="160">
        <f t="shared" ref="AB404:AB467" si="260">IMARGUMENT(Z404)</f>
        <v>0.61311074288012024</v>
      </c>
      <c r="AC404" s="171" t="str">
        <f t="shared" ref="AC404:AC467" si="261">(IMDIV(IMPRODUCT(P404,T404,W404),IMPRODUCT(Q404,Z404)))</f>
        <v>0.0130071427487953-0.0550338153774321i</v>
      </c>
      <c r="AD404" s="190">
        <f t="shared" ref="AD404:AD467" si="262">20*LOG(IMABS(AC404))</f>
        <v>-24.951342250142119</v>
      </c>
      <c r="AE404" s="169">
        <f t="shared" ref="AE404:AE467" si="263">(180/PI())*IMARGUMENT(AC404)</f>
        <v>-76.702267762171161</v>
      </c>
      <c r="AF404" s="98" t="str">
        <f t="shared" si="249"/>
        <v>-0.0000673063927557778</v>
      </c>
      <c r="AG404" s="98" t="str">
        <f t="shared" si="250"/>
        <v>0.004582717384922i</v>
      </c>
      <c r="AH404" s="98">
        <f t="shared" ref="AH404:AH467" si="264">IMABS(AG404)</f>
        <v>4.5827173849219997E-3</v>
      </c>
      <c r="AI404" s="98">
        <f t="shared" ref="AI404:AI467" si="265">IMARGUMENT(AG404)</f>
        <v>1.5707963267948966</v>
      </c>
      <c r="AJ404" s="98" t="str">
        <f t="shared" si="251"/>
        <v>1+4.61144287638303i</v>
      </c>
      <c r="AK404" s="98">
        <f t="shared" ref="AK404:AK467" si="266">IMABS(AJ404)</f>
        <v>4.7186232528295582</v>
      </c>
      <c r="AL404" s="98">
        <f t="shared" ref="AL404:AL467" si="267">IMARGUMENT(AJ404)</f>
        <v>1.3572507948203081</v>
      </c>
      <c r="AM404" s="98" t="str">
        <f t="shared" si="252"/>
        <v>1+682.764807050358i</v>
      </c>
      <c r="AN404" s="98">
        <f t="shared" ref="AN404:AN467" si="268">IMABS(AM404)</f>
        <v>682.76553936656205</v>
      </c>
      <c r="AO404" s="98">
        <f t="shared" ref="AO404:AO467" si="269">IMARGUMENT(AM404)</f>
        <v>1.5693316946483293</v>
      </c>
      <c r="AP404" s="168" t="str">
        <f t="shared" ref="AP404:AP467" si="270">IMPRODUCT(AF404,IMDIV(AM404,IMPRODUCT(AG404,AJ404)))</f>
        <v>-0.447332604673577+2.07753575811069i</v>
      </c>
      <c r="AQ404" s="98">
        <f t="shared" ref="AQ404:AQ467" si="271">20*LOG(IMABS(AP404))</f>
        <v>6.5477905981161308</v>
      </c>
      <c r="AR404" s="169">
        <f t="shared" ref="AR404:AR467" si="272">(180/PI())*IMARGUMENT(AP404)</f>
        <v>102.15134047548244</v>
      </c>
      <c r="AS404" s="168" t="str">
        <f t="shared" ref="AS404:AS467" si="273">IMPRODUCT(AC404,AP404)</f>
        <v>0.108516200306698+0.0516412241493839i</v>
      </c>
      <c r="AT404" s="190">
        <f t="shared" ref="AT404:AT467" si="274">20*LOG(IMABS(AS404))</f>
        <v>-18.403551652025953</v>
      </c>
      <c r="AU404" s="169">
        <f t="shared" ref="AU404:AU467" si="275">(180/PI())*IMARGUMENT(AS404)</f>
        <v>25.4490727133112</v>
      </c>
      <c r="AV404" s="225"/>
      <c r="AX404">
        <f t="shared" ref="AX404:AX467" si="276">SUM((AT405&lt;0)*(AT404&gt;0))*O404</f>
        <v>0</v>
      </c>
      <c r="AY404">
        <f t="shared" ref="AY404:AY467" si="277">IF(AX404&gt;0,AU404,0)</f>
        <v>0</v>
      </c>
    </row>
    <row r="405" spans="14:51" x14ac:dyDescent="0.25">
      <c r="N405" s="170">
        <v>87</v>
      </c>
      <c r="O405" s="199">
        <f t="shared" si="243"/>
        <v>74131.024130091857</v>
      </c>
      <c r="P405" s="189" t="str">
        <f t="shared" si="244"/>
        <v>87</v>
      </c>
      <c r="Q405" s="160" t="str">
        <f t="shared" si="245"/>
        <v>1+3493.34221215278i</v>
      </c>
      <c r="R405" s="160">
        <f t="shared" si="253"/>
        <v>3493.3423552821841</v>
      </c>
      <c r="S405" s="160">
        <f t="shared" si="254"/>
        <v>1.5705100679882997</v>
      </c>
      <c r="T405" s="160" t="str">
        <f t="shared" si="246"/>
        <v>1+2.32889480810185i</v>
      </c>
      <c r="U405" s="160">
        <f t="shared" si="255"/>
        <v>2.5345119899506794</v>
      </c>
      <c r="V405" s="160">
        <f t="shared" si="256"/>
        <v>1.1652146953279718</v>
      </c>
      <c r="W405" s="98" t="str">
        <f t="shared" si="247"/>
        <v>1-0.329926764481095i</v>
      </c>
      <c r="X405" s="160">
        <f t="shared" si="257"/>
        <v>1.0530202609261436</v>
      </c>
      <c r="Y405" s="160">
        <f t="shared" si="258"/>
        <v>-0.31868151558797092</v>
      </c>
      <c r="Z405" s="98" t="str">
        <f t="shared" si="248"/>
        <v>0.960921537859013+0.693079094891109i</v>
      </c>
      <c r="AA405" s="160">
        <f t="shared" si="259"/>
        <v>1.1847906286329284</v>
      </c>
      <c r="AB405" s="160">
        <f t="shared" si="260"/>
        <v>0.62485568213422849</v>
      </c>
      <c r="AC405" s="171" t="str">
        <f t="shared" si="261"/>
        <v>0.0123503035255458-0.0547242930725847i</v>
      </c>
      <c r="AD405" s="190">
        <f t="shared" si="262"/>
        <v>-25.020648596078281</v>
      </c>
      <c r="AE405" s="169">
        <f t="shared" si="263"/>
        <v>-77.282413552701243</v>
      </c>
      <c r="AF405" s="98" t="str">
        <f t="shared" si="249"/>
        <v>-0.0000673063927557778</v>
      </c>
      <c r="AG405" s="98" t="str">
        <f t="shared" si="250"/>
        <v>0.00468946258559387i</v>
      </c>
      <c r="AH405" s="98">
        <f t="shared" si="264"/>
        <v>4.6894625855938704E-3</v>
      </c>
      <c r="AI405" s="98">
        <f t="shared" si="265"/>
        <v>1.5707963267948966</v>
      </c>
      <c r="AJ405" s="98" t="str">
        <f t="shared" si="251"/>
        <v>1+4.71885717970576i</v>
      </c>
      <c r="AK405" s="98">
        <f t="shared" si="266"/>
        <v>4.8236514263015104</v>
      </c>
      <c r="AL405" s="98">
        <f t="shared" si="267"/>
        <v>1.3619700396412255</v>
      </c>
      <c r="AM405" s="98" t="str">
        <f t="shared" si="252"/>
        <v>1+698.668442430553i</v>
      </c>
      <c r="AN405" s="98">
        <f t="shared" si="268"/>
        <v>698.66915807722251</v>
      </c>
      <c r="AO405" s="98">
        <f t="shared" si="269"/>
        <v>1.5693650337002001</v>
      </c>
      <c r="AP405" s="168" t="str">
        <f t="shared" si="270"/>
        <v>-0.428064613132237+2.03432846092419i</v>
      </c>
      <c r="AQ405" s="98">
        <f t="shared" si="271"/>
        <v>6.3565779163478267</v>
      </c>
      <c r="AR405" s="169">
        <f t="shared" si="272"/>
        <v>101.88285785172</v>
      </c>
      <c r="AS405" s="168" t="str">
        <f t="shared" si="273"/>
        <v>0.106040459000787+0.0485501073061213i</v>
      </c>
      <c r="AT405" s="190">
        <f t="shared" si="274"/>
        <v>-18.664070679730465</v>
      </c>
      <c r="AU405" s="169">
        <f t="shared" si="275"/>
        <v>24.600444299018783</v>
      </c>
      <c r="AV405" s="225"/>
      <c r="AX405">
        <f t="shared" si="276"/>
        <v>0</v>
      </c>
      <c r="AY405">
        <f t="shared" si="277"/>
        <v>0</v>
      </c>
    </row>
    <row r="406" spans="14:51" x14ac:dyDescent="0.25">
      <c r="N406" s="170">
        <v>88</v>
      </c>
      <c r="O406" s="199">
        <f t="shared" si="243"/>
        <v>75857.757502918481</v>
      </c>
      <c r="P406" s="189" t="str">
        <f t="shared" si="244"/>
        <v>87</v>
      </c>
      <c r="Q406" s="160" t="str">
        <f t="shared" si="245"/>
        <v>1+3574.71260533448i</v>
      </c>
      <c r="R406" s="160">
        <f t="shared" si="253"/>
        <v>3574.7127452058617</v>
      </c>
      <c r="S406" s="160">
        <f t="shared" si="254"/>
        <v>1.5705165840339199</v>
      </c>
      <c r="T406" s="160" t="str">
        <f t="shared" si="246"/>
        <v>1+2.38314173688965i</v>
      </c>
      <c r="U406" s="160">
        <f t="shared" si="255"/>
        <v>2.5844466599458804</v>
      </c>
      <c r="V406" s="160">
        <f t="shared" si="256"/>
        <v>1.1734963705799262</v>
      </c>
      <c r="W406" s="98" t="str">
        <f t="shared" si="247"/>
        <v>1-0.337611746059367i</v>
      </c>
      <c r="X406" s="160">
        <f t="shared" si="257"/>
        <v>1.055453310704578</v>
      </c>
      <c r="Y406" s="160">
        <f t="shared" si="258"/>
        <v>-0.32559617092790771</v>
      </c>
      <c r="Z406" s="98" t="str">
        <f t="shared" si="248"/>
        <v>0.959079826678246+0.709222980898359i</v>
      </c>
      <c r="AA406" s="160">
        <f t="shared" si="259"/>
        <v>1.1928249454867752</v>
      </c>
      <c r="AB406" s="160">
        <f t="shared" si="260"/>
        <v>0.63673601482762643</v>
      </c>
      <c r="AC406" s="171" t="str">
        <f t="shared" si="261"/>
        <v>0.0116805222185765-0.0544159781934065i</v>
      </c>
      <c r="AD406" s="190">
        <f t="shared" si="262"/>
        <v>-25.089840185659806</v>
      </c>
      <c r="AE406" s="169">
        <f t="shared" si="263"/>
        <v>-77.885155345688474</v>
      </c>
      <c r="AF406" s="98" t="str">
        <f t="shared" si="249"/>
        <v>-0.0000673063927557778</v>
      </c>
      <c r="AG406" s="98" t="str">
        <f t="shared" si="250"/>
        <v>0.00479869420140099i</v>
      </c>
      <c r="AH406" s="98">
        <f t="shared" si="264"/>
        <v>4.7986942014009897E-3</v>
      </c>
      <c r="AI406" s="98">
        <f t="shared" si="265"/>
        <v>1.5707963267948966</v>
      </c>
      <c r="AJ406" s="98" t="str">
        <f t="shared" si="251"/>
        <v>1+4.82877348356662i</v>
      </c>
      <c r="AK406" s="98">
        <f t="shared" si="266"/>
        <v>4.9312324377984975</v>
      </c>
      <c r="AL406" s="98">
        <f t="shared" si="267"/>
        <v>1.3665910003000561</v>
      </c>
      <c r="AM406" s="98" t="str">
        <f t="shared" si="252"/>
        <v>1+714.942521066893i</v>
      </c>
      <c r="AN406" s="98">
        <f t="shared" si="268"/>
        <v>714.94322042347164</v>
      </c>
      <c r="AO406" s="98">
        <f t="shared" si="269"/>
        <v>1.569397613865674</v>
      </c>
      <c r="AP406" s="168" t="str">
        <f t="shared" si="270"/>
        <v>-0.409590818714964+1.99184726532772i</v>
      </c>
      <c r="AQ406" s="98">
        <f t="shared" si="271"/>
        <v>6.1649863718751794</v>
      </c>
      <c r="AR406" s="169">
        <f t="shared" si="272"/>
        <v>101.61996301465049</v>
      </c>
      <c r="AS406" s="168" t="str">
        <f t="shared" si="273"/>
        <v>0.103604082696145+0.0455541012980843i</v>
      </c>
      <c r="AT406" s="190">
        <f t="shared" si="274"/>
        <v>-18.924853813784594</v>
      </c>
      <c r="AU406" s="169">
        <f t="shared" si="275"/>
        <v>23.734807668961942</v>
      </c>
      <c r="AV406" s="225"/>
      <c r="AX406">
        <f t="shared" si="276"/>
        <v>0</v>
      </c>
      <c r="AY406">
        <f t="shared" si="277"/>
        <v>0</v>
      </c>
    </row>
    <row r="407" spans="14:51" x14ac:dyDescent="0.25">
      <c r="N407" s="170">
        <v>89</v>
      </c>
      <c r="O407" s="199">
        <f t="shared" si="243"/>
        <v>77624.711662869129</v>
      </c>
      <c r="P407" s="189" t="str">
        <f t="shared" si="244"/>
        <v>87</v>
      </c>
      <c r="Q407" s="160" t="str">
        <f t="shared" si="245"/>
        <v>1+3657.97835845644i</v>
      </c>
      <c r="R407" s="160">
        <f t="shared" si="253"/>
        <v>3657.9784951439606</v>
      </c>
      <c r="S407" s="160">
        <f t="shared" si="254"/>
        <v>1.5705229517562562</v>
      </c>
      <c r="T407" s="160" t="str">
        <f t="shared" si="246"/>
        <v>1+2.43865223897096i</v>
      </c>
      <c r="U407" s="160">
        <f t="shared" si="255"/>
        <v>2.6357209151649719</v>
      </c>
      <c r="V407" s="160">
        <f t="shared" si="256"/>
        <v>1.1816455328583113</v>
      </c>
      <c r="W407" s="98" t="str">
        <f t="shared" si="247"/>
        <v>1-0.345475733854219i</v>
      </c>
      <c r="X407" s="160">
        <f t="shared" si="257"/>
        <v>1.0579950296112506</v>
      </c>
      <c r="Y407" s="160">
        <f t="shared" si="258"/>
        <v>-0.33263862083849455</v>
      </c>
      <c r="Z407" s="98" t="str">
        <f t="shared" si="248"/>
        <v>0.957151318323601+0.725742906317756i</v>
      </c>
      <c r="AA407" s="160">
        <f t="shared" si="259"/>
        <v>1.2011833383123289</v>
      </c>
      <c r="AB407" s="160">
        <f t="shared" si="260"/>
        <v>0.64874890302386878</v>
      </c>
      <c r="AC407" s="171" t="str">
        <f t="shared" si="261"/>
        <v>0.0109981488456099-0.0541078889394904i</v>
      </c>
      <c r="AD407" s="190">
        <f t="shared" si="262"/>
        <v>-25.158962891021357</v>
      </c>
      <c r="AE407" s="169">
        <f t="shared" si="263"/>
        <v>-78.510398034901115</v>
      </c>
      <c r="AF407" s="98" t="str">
        <f t="shared" si="249"/>
        <v>-0.0000673063927557778</v>
      </c>
      <c r="AG407" s="98" t="str">
        <f t="shared" si="250"/>
        <v>0.00491047014839192i</v>
      </c>
      <c r="AH407" s="98">
        <f t="shared" si="264"/>
        <v>4.9104701483919204E-3</v>
      </c>
      <c r="AI407" s="98">
        <f t="shared" si="265"/>
        <v>1.5707963267948966</v>
      </c>
      <c r="AJ407" s="98" t="str">
        <f t="shared" si="251"/>
        <v>1+4.94125006704484i</v>
      </c>
      <c r="AK407" s="98">
        <f t="shared" si="266"/>
        <v>5.0414236307882954</v>
      </c>
      <c r="AL407" s="98">
        <f t="shared" si="267"/>
        <v>1.3711153371409157</v>
      </c>
      <c r="AM407" s="98" t="str">
        <f t="shared" si="252"/>
        <v>1+731.595671691286i</v>
      </c>
      <c r="AN407" s="98">
        <f t="shared" si="268"/>
        <v>731.5963551285804</v>
      </c>
      <c r="AO407" s="98">
        <f t="shared" si="269"/>
        <v>1.5694294524189092</v>
      </c>
      <c r="AP407" s="168" t="str">
        <f t="shared" si="270"/>
        <v>-0.391881512227164+1.95009125906873i</v>
      </c>
      <c r="AQ407" s="98">
        <f t="shared" si="271"/>
        <v>5.9730316118031261</v>
      </c>
      <c r="AR407" s="169">
        <f t="shared" si="272"/>
        <v>101.3625618232999</v>
      </c>
      <c r="AS407" s="168" t="str">
        <f t="shared" si="273"/>
        <v>0.101205350066245+0.0426512752707877i</v>
      </c>
      <c r="AT407" s="190">
        <f t="shared" si="274"/>
        <v>-19.185931279218217</v>
      </c>
      <c r="AU407" s="169">
        <f t="shared" si="275"/>
        <v>22.852163788398787</v>
      </c>
      <c r="AV407" s="225"/>
      <c r="AX407">
        <f t="shared" si="276"/>
        <v>0</v>
      </c>
      <c r="AY407">
        <f t="shared" si="277"/>
        <v>0</v>
      </c>
    </row>
    <row r="408" spans="14:51" x14ac:dyDescent="0.25">
      <c r="N408" s="170">
        <v>90</v>
      </c>
      <c r="O408" s="199">
        <f t="shared" si="243"/>
        <v>79432.823472428237</v>
      </c>
      <c r="P408" s="189" t="str">
        <f t="shared" si="244"/>
        <v>87</v>
      </c>
      <c r="Q408" s="160" t="str">
        <f t="shared" si="245"/>
        <v>1+3743.18362012314i</v>
      </c>
      <c r="R408" s="160">
        <f t="shared" si="253"/>
        <v>3743.1837536992725</v>
      </c>
      <c r="S408" s="160">
        <f t="shared" si="254"/>
        <v>1.5705291745315575</v>
      </c>
      <c r="T408" s="160" t="str">
        <f t="shared" si="246"/>
        <v>1+2.49545574674876i</v>
      </c>
      <c r="U408" s="160">
        <f t="shared" si="255"/>
        <v>2.6883637000936855</v>
      </c>
      <c r="V408" s="160">
        <f t="shared" si="256"/>
        <v>1.1896621724962462</v>
      </c>
      <c r="W408" s="98" t="str">
        <f t="shared" si="247"/>
        <v>1-0.353522897456074i</v>
      </c>
      <c r="X408" s="160">
        <f t="shared" si="257"/>
        <v>1.0606500077903822</v>
      </c>
      <c r="Y408" s="160">
        <f t="shared" si="258"/>
        <v>-0.33980980418353268</v>
      </c>
      <c r="Z408" s="98" t="str">
        <f t="shared" si="248"/>
        <v>0.955131922170297+0.74264763023243i</v>
      </c>
      <c r="AA408" s="160">
        <f t="shared" si="259"/>
        <v>1.2098770563319938</v>
      </c>
      <c r="AB408" s="160">
        <f t="shared" si="260"/>
        <v>0.66089131488220365</v>
      </c>
      <c r="AC408" s="171" t="str">
        <f t="shared" si="261"/>
        <v>0.010303575017813-0.0537990585816488i</v>
      </c>
      <c r="AD408" s="190">
        <f t="shared" si="262"/>
        <v>-25.228060269597755</v>
      </c>
      <c r="AE408" s="169">
        <f t="shared" si="263"/>
        <v>-79.158022448909037</v>
      </c>
      <c r="AF408" s="98" t="str">
        <f t="shared" si="249"/>
        <v>-0.0000673063927557778</v>
      </c>
      <c r="AG408" s="98" t="str">
        <f t="shared" si="250"/>
        <v>0.00502484969165329i</v>
      </c>
      <c r="AH408" s="98">
        <f t="shared" si="264"/>
        <v>5.0248496916532898E-3</v>
      </c>
      <c r="AI408" s="98">
        <f t="shared" si="265"/>
        <v>1.5707963267948966</v>
      </c>
      <c r="AJ408" s="98" t="str">
        <f t="shared" si="251"/>
        <v>1+5.05634656671381i</v>
      </c>
      <c r="AK408" s="98">
        <f t="shared" si="266"/>
        <v>5.1542837138363389</v>
      </c>
      <c r="AL408" s="98">
        <f t="shared" si="267"/>
        <v>1.3755447077855458</v>
      </c>
      <c r="AM408" s="98" t="str">
        <f t="shared" si="252"/>
        <v>1+748.636724024626i</v>
      </c>
      <c r="AN408" s="98">
        <f t="shared" si="268"/>
        <v>748.63739190500235</v>
      </c>
      <c r="AO408" s="98">
        <f t="shared" si="269"/>
        <v>1.56946056624087</v>
      </c>
      <c r="AP408" s="168" t="str">
        <f t="shared" si="270"/>
        <v>-0.374907838051411+1.90905866744538i</v>
      </c>
      <c r="AQ408" s="98">
        <f t="shared" si="271"/>
        <v>5.7807286952778325</v>
      </c>
      <c r="AR408" s="169">
        <f t="shared" si="272"/>
        <v>101.11056027014631</v>
      </c>
      <c r="AS408" s="168" t="str">
        <f t="shared" si="273"/>
        <v>0.0988426680515696+0.0398398179354768i</v>
      </c>
      <c r="AT408" s="190">
        <f t="shared" si="274"/>
        <v>-19.447331574319922</v>
      </c>
      <c r="AU408" s="169">
        <f t="shared" si="275"/>
        <v>21.952537821237307</v>
      </c>
      <c r="AV408" s="225"/>
      <c r="AX408">
        <f t="shared" si="276"/>
        <v>0</v>
      </c>
      <c r="AY408">
        <f t="shared" si="277"/>
        <v>0</v>
      </c>
    </row>
    <row r="409" spans="14:51" x14ac:dyDescent="0.25">
      <c r="N409" s="170">
        <v>91</v>
      </c>
      <c r="O409" s="199">
        <f t="shared" si="243"/>
        <v>81283.051616410012</v>
      </c>
      <c r="P409" s="189" t="str">
        <f t="shared" si="244"/>
        <v>87</v>
      </c>
      <c r="Q409" s="160" t="str">
        <f t="shared" si="245"/>
        <v>1+3830.37356729211i</v>
      </c>
      <c r="R409" s="160">
        <f t="shared" si="253"/>
        <v>3830.3736978276779</v>
      </c>
      <c r="S409" s="160">
        <f t="shared" si="254"/>
        <v>1.5705352556592196</v>
      </c>
      <c r="T409" s="160" t="str">
        <f t="shared" si="246"/>
        <v>1+2.55358237819474i</v>
      </c>
      <c r="U409" s="160">
        <f t="shared" si="255"/>
        <v>2.7424045949178804</v>
      </c>
      <c r="V409" s="160">
        <f t="shared" si="256"/>
        <v>1.1975464173677854</v>
      </c>
      <c r="W409" s="98" t="str">
        <f t="shared" si="247"/>
        <v>1-0.361757503577588i</v>
      </c>
      <c r="X409" s="160">
        <f t="shared" si="257"/>
        <v>1.0634230068014743</v>
      </c>
      <c r="Y409" s="160">
        <f t="shared" si="258"/>
        <v>-0.34711057200873258</v>
      </c>
      <c r="Z409" s="98" t="str">
        <f t="shared" si="248"/>
        <v>0.953017354808348+0.759946115750753i</v>
      </c>
      <c r="AA409" s="160">
        <f t="shared" si="259"/>
        <v>1.2189176253588909</v>
      </c>
      <c r="AB409" s="160">
        <f t="shared" si="260"/>
        <v>0.6731600282244059</v>
      </c>
      <c r="AC409" s="171" t="str">
        <f t="shared" si="261"/>
        <v>0.0095972340106272-0.053488538282768i</v>
      </c>
      <c r="AD409" s="190">
        <f t="shared" si="262"/>
        <v>-25.297173421012054</v>
      </c>
      <c r="AE409" s="169">
        <f t="shared" si="263"/>
        <v>-79.827885594224853</v>
      </c>
      <c r="AF409" s="98" t="str">
        <f t="shared" si="249"/>
        <v>-0.0000673063927557778</v>
      </c>
      <c r="AG409" s="98" t="str">
        <f t="shared" si="250"/>
        <v>0.00514189347673292i</v>
      </c>
      <c r="AH409" s="98">
        <f t="shared" si="264"/>
        <v>5.1418934767329203E-3</v>
      </c>
      <c r="AI409" s="98">
        <f t="shared" si="265"/>
        <v>1.5707963267948966</v>
      </c>
      <c r="AJ409" s="98" t="str">
        <f t="shared" si="251"/>
        <v>1+5.17412400826108i</v>
      </c>
      <c r="AK409" s="98">
        <f t="shared" si="266"/>
        <v>5.2698727928540841</v>
      </c>
      <c r="AL409" s="98">
        <f t="shared" si="267"/>
        <v>1.3798807652036711</v>
      </c>
      <c r="AM409" s="98" t="str">
        <f t="shared" si="252"/>
        <v>1+766.07471345842i</v>
      </c>
      <c r="AN409" s="98">
        <f t="shared" si="268"/>
        <v>766.07536613599586</v>
      </c>
      <c r="AO409" s="98">
        <f t="shared" si="269"/>
        <v>1.5694909718282752</v>
      </c>
      <c r="AP409" s="168" t="str">
        <f t="shared" si="270"/>
        <v>-0.358641792560749+1.86874691616311i</v>
      </c>
      <c r="AQ409" s="98">
        <f t="shared" si="271"/>
        <v>5.5880921106132</v>
      </c>
      <c r="AR409" s="169">
        <f t="shared" si="272"/>
        <v>100.86386459219328</v>
      </c>
      <c r="AS409" s="168" t="str">
        <f t="shared" si="273"/>
        <v>0.0965145717567988+0.0371180267122415i</v>
      </c>
      <c r="AT409" s="190">
        <f t="shared" si="274"/>
        <v>-19.709081310398858</v>
      </c>
      <c r="AU409" s="169">
        <f t="shared" si="275"/>
        <v>21.035978997968449</v>
      </c>
      <c r="AV409" s="225"/>
      <c r="AX409">
        <f t="shared" si="276"/>
        <v>0</v>
      </c>
      <c r="AY409">
        <f t="shared" si="277"/>
        <v>0</v>
      </c>
    </row>
    <row r="410" spans="14:51" x14ac:dyDescent="0.25">
      <c r="N410" s="170">
        <v>92</v>
      </c>
      <c r="O410" s="199">
        <f t="shared" si="243"/>
        <v>83176.377110267174</v>
      </c>
      <c r="P410" s="189" t="str">
        <f t="shared" si="244"/>
        <v>87</v>
      </c>
      <c r="Q410" s="160" t="str">
        <f t="shared" si="245"/>
        <v>1+3919.59442922745i</v>
      </c>
      <c r="R410" s="160">
        <f t="shared" si="253"/>
        <v>3919.5945567916665</v>
      </c>
      <c r="S410" s="160">
        <f t="shared" si="254"/>
        <v>1.5705411983635349</v>
      </c>
      <c r="T410" s="160" t="str">
        <f t="shared" si="246"/>
        <v>1+2.61306295281829i</v>
      </c>
      <c r="U410" s="160">
        <f t="shared" si="255"/>
        <v>2.7978738347880237</v>
      </c>
      <c r="V410" s="160">
        <f t="shared" si="256"/>
        <v>1.2052985260103739</v>
      </c>
      <c r="W410" s="98" t="str">
        <f t="shared" si="247"/>
        <v>1-0.370183918315926i</v>
      </c>
      <c r="X410" s="160">
        <f t="shared" si="257"/>
        <v>1.0663189641846065</v>
      </c>
      <c r="Y410" s="160">
        <f t="shared" si="258"/>
        <v>-0.35454168120141166</v>
      </c>
      <c r="Z410" s="98" t="str">
        <f t="shared" si="248"/>
        <v>0.950803130956875+0.777647534758725i</v>
      </c>
      <c r="AA410" s="160">
        <f t="shared" si="259"/>
        <v>1.2283168492509247</v>
      </c>
      <c r="AB410" s="160">
        <f t="shared" si="260"/>
        <v>0.68555163507227801</v>
      </c>
      <c r="AC410" s="171" t="str">
        <f t="shared" si="261"/>
        <v>0.00887960058659711-0.0531753999819342i</v>
      </c>
      <c r="AD410" s="190">
        <f t="shared" si="262"/>
        <v>-25.366340851834345</v>
      </c>
      <c r="AE410" s="169">
        <f t="shared" si="263"/>
        <v>-80.519820946163591</v>
      </c>
      <c r="AF410" s="98" t="str">
        <f t="shared" si="249"/>
        <v>-0.0000673063927557778</v>
      </c>
      <c r="AG410" s="98" t="str">
        <f t="shared" si="250"/>
        <v>0.00526166356179492i</v>
      </c>
      <c r="AH410" s="98">
        <f t="shared" si="264"/>
        <v>5.2616635617949202E-3</v>
      </c>
      <c r="AI410" s="98">
        <f t="shared" si="265"/>
        <v>1.5707963267948966</v>
      </c>
      <c r="AJ410" s="98" t="str">
        <f t="shared" si="251"/>
        <v>1+5.29464483884517i</v>
      </c>
      <c r="AK410" s="98">
        <f t="shared" si="266"/>
        <v>5.3882524040276536</v>
      </c>
      <c r="AL410" s="98">
        <f t="shared" si="267"/>
        <v>1.3841251559256185</v>
      </c>
      <c r="AM410" s="98" t="str">
        <f t="shared" si="252"/>
        <v>1+783.918885845488i</v>
      </c>
      <c r="AN410" s="98">
        <f t="shared" si="268"/>
        <v>783.91952366632086</v>
      </c>
      <c r="AO410" s="98">
        <f t="shared" si="269"/>
        <v>1.5695206853023447</v>
      </c>
      <c r="AP410" s="168" t="str">
        <f t="shared" si="270"/>
        <v>-0.34305622003485+1.82915269136761i</v>
      </c>
      <c r="AQ410" s="98">
        <f t="shared" si="271"/>
        <v>5.3951357923601559</v>
      </c>
      <c r="AR410" s="169">
        <f t="shared" si="272"/>
        <v>100.62238137388005</v>
      </c>
      <c r="AS410" s="168" t="str">
        <f t="shared" si="273"/>
        <v>0.0942197237788469+0.0344842970278871i</v>
      </c>
      <c r="AT410" s="190">
        <f t="shared" si="274"/>
        <v>-19.971205059474183</v>
      </c>
      <c r="AU410" s="169">
        <f t="shared" si="275"/>
        <v>20.102560427716458</v>
      </c>
      <c r="AV410" s="225"/>
      <c r="AX410">
        <f t="shared" si="276"/>
        <v>0</v>
      </c>
      <c r="AY410">
        <f t="shared" si="277"/>
        <v>0</v>
      </c>
    </row>
    <row r="411" spans="14:51" x14ac:dyDescent="0.25">
      <c r="N411" s="170">
        <v>93</v>
      </c>
      <c r="O411" s="199">
        <f t="shared" si="243"/>
        <v>85113.803820237721</v>
      </c>
      <c r="P411" s="189" t="str">
        <f t="shared" si="244"/>
        <v>87</v>
      </c>
      <c r="Q411" s="160" t="str">
        <f t="shared" si="245"/>
        <v>1+4010.89351201113i</v>
      </c>
      <c r="R411" s="160">
        <f t="shared" si="253"/>
        <v>4010.8936366716298</v>
      </c>
      <c r="S411" s="160">
        <f t="shared" si="254"/>
        <v>1.5705470057954023</v>
      </c>
      <c r="T411" s="160" t="str">
        <f t="shared" si="246"/>
        <v>1+2.67392900800741i</v>
      </c>
      <c r="U411" s="160">
        <f t="shared" si="255"/>
        <v>2.8548023293852571</v>
      </c>
      <c r="V411" s="160">
        <f t="shared" si="256"/>
        <v>1.2129188807585864</v>
      </c>
      <c r="W411" s="98" t="str">
        <f t="shared" si="247"/>
        <v>1-0.378806609467718i</v>
      </c>
      <c r="X411" s="160">
        <f t="shared" si="257"/>
        <v>1.0693429980022444</v>
      </c>
      <c r="Y411" s="160">
        <f t="shared" si="258"/>
        <v>-0.36210378800594056</v>
      </c>
      <c r="Z411" s="98" t="str">
        <f t="shared" si="248"/>
        <v>0.948484553950223+0.795761272783007i</v>
      </c>
      <c r="AA411" s="160">
        <f t="shared" si="259"/>
        <v>1.2380868113114625</v>
      </c>
      <c r="AB411" s="160">
        <f t="shared" si="260"/>
        <v>0.69806254717066341</v>
      </c>
      <c r="AC411" s="171" t="str">
        <f t="shared" si="261"/>
        <v>0.00815119055939917-0.0528587393184717i</v>
      </c>
      <c r="AD411" s="190">
        <f t="shared" si="262"/>
        <v>-25.435598348975734</v>
      </c>
      <c r="AE411" s="169">
        <f t="shared" si="263"/>
        <v>-81.233638787257732</v>
      </c>
      <c r="AF411" s="98" t="str">
        <f t="shared" si="249"/>
        <v>-0.0000673063927557778</v>
      </c>
      <c r="AG411" s="98" t="str">
        <f t="shared" si="250"/>
        <v>0.00538422345052373i</v>
      </c>
      <c r="AH411" s="98">
        <f t="shared" si="264"/>
        <v>5.3842234505237299E-3</v>
      </c>
      <c r="AI411" s="98">
        <f t="shared" si="265"/>
        <v>1.5707963267948966</v>
      </c>
      <c r="AJ411" s="98" t="str">
        <f t="shared" si="251"/>
        <v>1+5.41797296020573i</v>
      </c>
      <c r="AK411" s="98">
        <f t="shared" si="266"/>
        <v>5.5094855474463715</v>
      </c>
      <c r="AL411" s="98">
        <f t="shared" si="267"/>
        <v>1.3882795183906667</v>
      </c>
      <c r="AM411" s="98" t="str">
        <f t="shared" si="252"/>
        <v>1+802.178702402224i</v>
      </c>
      <c r="AN411" s="98">
        <f t="shared" si="268"/>
        <v>802.17932570449341</v>
      </c>
      <c r="AO411" s="98">
        <f t="shared" si="269"/>
        <v>1.569549722417346</v>
      </c>
      <c r="AP411" s="168" t="str">
        <f t="shared" si="270"/>
        <v>-0.328124806341046+1.79027199687884i</v>
      </c>
      <c r="AQ411" s="98">
        <f t="shared" si="271"/>
        <v>5.2018731382718713</v>
      </c>
      <c r="AR411" s="169">
        <f t="shared" si="272"/>
        <v>100.38601764220402</v>
      </c>
      <c r="AS411" s="168" t="str">
        <f t="shared" si="273"/>
        <v>0.0919569129684266+0.0319371118020209i</v>
      </c>
      <c r="AT411" s="190">
        <f t="shared" si="274"/>
        <v>-20.233725210703856</v>
      </c>
      <c r="AU411" s="169">
        <f t="shared" si="275"/>
        <v>19.152378854946324</v>
      </c>
      <c r="AV411" s="225"/>
      <c r="AX411">
        <f t="shared" si="276"/>
        <v>0</v>
      </c>
      <c r="AY411">
        <f t="shared" si="277"/>
        <v>0</v>
      </c>
    </row>
    <row r="412" spans="14:51" x14ac:dyDescent="0.25">
      <c r="N412" s="170">
        <v>94</v>
      </c>
      <c r="O412" s="199">
        <f t="shared" si="243"/>
        <v>87096.358995608127</v>
      </c>
      <c r="P412" s="189" t="str">
        <f t="shared" si="244"/>
        <v>87</v>
      </c>
      <c r="Q412" s="160" t="str">
        <f t="shared" si="245"/>
        <v>1+4104.31922362534i</v>
      </c>
      <c r="R412" s="160">
        <f t="shared" si="253"/>
        <v>4104.3193454482207</v>
      </c>
      <c r="S412" s="160">
        <f t="shared" si="254"/>
        <v>1.5705526810339978</v>
      </c>
      <c r="T412" s="160" t="str">
        <f t="shared" si="246"/>
        <v>1+2.73621281575022i</v>
      </c>
      <c r="U412" s="160">
        <f t="shared" si="255"/>
        <v>2.913221682789648</v>
      </c>
      <c r="V412" s="160">
        <f t="shared" si="256"/>
        <v>1.2204079809198669</v>
      </c>
      <c r="W412" s="98" t="str">
        <f t="shared" si="247"/>
        <v>1-0.387630148897949i</v>
      </c>
      <c r="X412" s="160">
        <f t="shared" si="257"/>
        <v>1.0725004113447445</v>
      </c>
      <c r="Y412" s="160">
        <f t="shared" si="258"/>
        <v>-0.36979744141330584</v>
      </c>
      <c r="Z412" s="98" t="str">
        <f t="shared" si="248"/>
        <v>0.946056705775702+0.814296933967266i</v>
      </c>
      <c r="AA412" s="160">
        <f t="shared" si="259"/>
        <v>1.2482398756696018</v>
      </c>
      <c r="AB412" s="160">
        <f t="shared" si="260"/>
        <v>0.71068900250309031</v>
      </c>
      <c r="AC412" s="171" t="str">
        <f t="shared" si="261"/>
        <v>0.00741256009068415-0.0525376785708094i</v>
      </c>
      <c r="AD412" s="190">
        <f t="shared" si="262"/>
        <v>-25.504978862494806</v>
      </c>
      <c r="AE412" s="169">
        <f t="shared" si="263"/>
        <v>-81.96912659292181</v>
      </c>
      <c r="AF412" s="98" t="str">
        <f t="shared" si="249"/>
        <v>-0.0000673063927557778</v>
      </c>
      <c r="AG412" s="98" t="str">
        <f t="shared" si="250"/>
        <v>0.00550963812579464i</v>
      </c>
      <c r="AH412" s="98">
        <f t="shared" si="264"/>
        <v>5.5096381257946402E-3</v>
      </c>
      <c r="AI412" s="98">
        <f t="shared" si="265"/>
        <v>1.5707963267948966</v>
      </c>
      <c r="AJ412" s="98" t="str">
        <f t="shared" si="251"/>
        <v>1+5.54417376254514i</v>
      </c>
      <c r="AK412" s="98">
        <f t="shared" si="266"/>
        <v>5.6336367214521328</v>
      </c>
      <c r="AL412" s="98">
        <f t="shared" si="267"/>
        <v>1.3923454814247158</v>
      </c>
      <c r="AM412" s="98" t="str">
        <f t="shared" si="252"/>
        <v>1+820.863844725066i</v>
      </c>
      <c r="AN412" s="98">
        <f t="shared" si="268"/>
        <v>820.86445383925434</v>
      </c>
      <c r="AO412" s="98">
        <f t="shared" si="269"/>
        <v>1.5695780985689458</v>
      </c>
      <c r="AP412" s="168" t="str">
        <f t="shared" si="270"/>
        <v>-0.313822070625363+1.75210020866291i</v>
      </c>
      <c r="AQ412" s="98">
        <f t="shared" si="271"/>
        <v>5.0083170261208227</v>
      </c>
      <c r="AR412" s="169">
        <f t="shared" si="272"/>
        <v>100.15468095442236</v>
      </c>
      <c r="AS412" s="168" t="str">
        <f t="shared" si="273"/>
        <v>0.0897250526302866+0.0294750311565552i</v>
      </c>
      <c r="AT412" s="190">
        <f t="shared" si="274"/>
        <v>-20.496661836373985</v>
      </c>
      <c r="AU412" s="169">
        <f t="shared" si="275"/>
        <v>18.185554361500557</v>
      </c>
      <c r="AV412" s="225"/>
      <c r="AX412">
        <f t="shared" si="276"/>
        <v>0</v>
      </c>
      <c r="AY412">
        <f t="shared" si="277"/>
        <v>0</v>
      </c>
    </row>
    <row r="413" spans="14:51" x14ac:dyDescent="0.25">
      <c r="N413" s="170">
        <v>95</v>
      </c>
      <c r="O413" s="199">
        <f t="shared" si="243"/>
        <v>89125.093813374609</v>
      </c>
      <c r="P413" s="189" t="str">
        <f t="shared" si="244"/>
        <v>87</v>
      </c>
      <c r="Q413" s="160" t="str">
        <f t="shared" si="245"/>
        <v>1+4199.92109961899i</v>
      </c>
      <c r="R413" s="160">
        <f t="shared" si="253"/>
        <v>4199.9212186688437</v>
      </c>
      <c r="S413" s="160">
        <f t="shared" si="254"/>
        <v>1.570558227088406</v>
      </c>
      <c r="T413" s="160" t="str">
        <f t="shared" si="246"/>
        <v>1+2.79994739974599i</v>
      </c>
      <c r="U413" s="160">
        <f t="shared" si="255"/>
        <v>2.9731642136525744</v>
      </c>
      <c r="V413" s="160">
        <f t="shared" si="256"/>
        <v>1.2277664360200777</v>
      </c>
      <c r="W413" s="98" t="str">
        <f t="shared" si="247"/>
        <v>1-0.396659214964016i</v>
      </c>
      <c r="X413" s="160">
        <f t="shared" si="257"/>
        <v>1.0757966967860932</v>
      </c>
      <c r="Y413" s="160">
        <f t="shared" si="258"/>
        <v>-0.37762307644574311</v>
      </c>
      <c r="Z413" s="98" t="str">
        <f t="shared" si="248"/>
        <v>0.943514436641829+0.833264346164407i</v>
      </c>
      <c r="AA413" s="160">
        <f t="shared" si="259"/>
        <v>1.2587886886766757</v>
      </c>
      <c r="AB413" s="160">
        <f t="shared" si="260"/>
        <v>0.72342707279869634</v>
      </c>
      <c r="AC413" s="171" t="str">
        <f t="shared" si="261"/>
        <v>0.00666430471402882-0.0522113695836409i</v>
      </c>
      <c r="AD413" s="190">
        <f t="shared" si="262"/>
        <v>-25.57451239859958</v>
      </c>
      <c r="AE413" s="169">
        <f t="shared" si="263"/>
        <v>-82.726049463901205</v>
      </c>
      <c r="AF413" s="98" t="str">
        <f t="shared" si="249"/>
        <v>-0.0000673063927557778</v>
      </c>
      <c r="AG413" s="98" t="str">
        <f t="shared" si="250"/>
        <v>0.00563797408412852i</v>
      </c>
      <c r="AH413" s="98">
        <f t="shared" si="264"/>
        <v>5.6379740841285197E-3</v>
      </c>
      <c r="AI413" s="98">
        <f t="shared" si="265"/>
        <v>1.5707963267948966</v>
      </c>
      <c r="AJ413" s="98" t="str">
        <f t="shared" si="251"/>
        <v>1+5.67331415919926i</v>
      </c>
      <c r="AK413" s="98">
        <f t="shared" si="266"/>
        <v>5.7607719577302152</v>
      </c>
      <c r="AL413" s="98">
        <f t="shared" si="267"/>
        <v>1.3963246628409265</v>
      </c>
      <c r="AM413" s="98" t="str">
        <f t="shared" si="252"/>
        <v>1+839.984219923797i</v>
      </c>
      <c r="AN413" s="98">
        <f t="shared" si="268"/>
        <v>839.98481517286348</v>
      </c>
      <c r="AO413" s="98">
        <f t="shared" si="269"/>
        <v>1.5696058288023722</v>
      </c>
      <c r="AP413" s="168" t="str">
        <f t="shared" si="270"/>
        <v>-0.300123355242602+1.7146321265901i</v>
      </c>
      <c r="AQ413" s="98">
        <f t="shared" si="271"/>
        <v>4.8144798303316003</v>
      </c>
      <c r="AR413" s="169">
        <f t="shared" si="272"/>
        <v>99.928279478696794</v>
      </c>
      <c r="AS413" s="168" t="str">
        <f t="shared" si="273"/>
        <v>0.0875231781702464+0.0270966823853135i</v>
      </c>
      <c r="AT413" s="190">
        <f t="shared" si="274"/>
        <v>-20.760032568267984</v>
      </c>
      <c r="AU413" s="169">
        <f t="shared" si="275"/>
        <v>17.2022300147956</v>
      </c>
      <c r="AV413" s="225"/>
      <c r="AX413">
        <f t="shared" si="276"/>
        <v>0</v>
      </c>
      <c r="AY413">
        <f t="shared" si="277"/>
        <v>0</v>
      </c>
    </row>
    <row r="414" spans="14:51" x14ac:dyDescent="0.25">
      <c r="N414" s="170">
        <v>96</v>
      </c>
      <c r="O414" s="199">
        <f t="shared" si="243"/>
        <v>91201.083935591028</v>
      </c>
      <c r="P414" s="189" t="str">
        <f t="shared" si="244"/>
        <v>87</v>
      </c>
      <c r="Q414" s="160" t="str">
        <f t="shared" si="245"/>
        <v>1+4297.7498293722i</v>
      </c>
      <c r="R414" s="160">
        <f t="shared" si="253"/>
        <v>4297.7499457121485</v>
      </c>
      <c r="S414" s="160">
        <f t="shared" si="254"/>
        <v>1.5705636468992175</v>
      </c>
      <c r="T414" s="160" t="str">
        <f t="shared" si="246"/>
        <v>1+2.86516655291479i</v>
      </c>
      <c r="U414" s="160">
        <f t="shared" si="255"/>
        <v>3.0346629756764787</v>
      </c>
      <c r="V414" s="160">
        <f t="shared" si="256"/>
        <v>1.2349949591438081</v>
      </c>
      <c r="W414" s="98" t="str">
        <f t="shared" si="247"/>
        <v>1-0.405898594996263i</v>
      </c>
      <c r="X414" s="160">
        <f t="shared" si="257"/>
        <v>1.0792375407758665</v>
      </c>
      <c r="Y414" s="160">
        <f t="shared" si="258"/>
        <v>-0.3855810073601692</v>
      </c>
      <c r="Z414" s="98" t="str">
        <f t="shared" si="248"/>
        <v>0.940852354054921+0.852673566147442i</v>
      </c>
      <c r="AA414" s="160">
        <f t="shared" si="259"/>
        <v>1.2697461803593986</v>
      </c>
      <c r="AB414" s="160">
        <f t="shared" si="260"/>
        <v>0.73627267202037472</v>
      </c>
      <c r="AC414" s="171" t="str">
        <f t="shared" si="261"/>
        <v>0.00590705808321973-0.0518789966557058i</v>
      </c>
      <c r="AD414" s="190">
        <f t="shared" si="262"/>
        <v>-25.644225923627097</v>
      </c>
      <c r="AE414" s="169">
        <f t="shared" si="263"/>
        <v>-83.504150604856108</v>
      </c>
      <c r="AF414" s="98" t="str">
        <f t="shared" si="249"/>
        <v>-0.0000673063927557778</v>
      </c>
      <c r="AG414" s="98" t="str">
        <f t="shared" si="250"/>
        <v>0.00576929937094922i</v>
      </c>
      <c r="AH414" s="98">
        <f t="shared" si="264"/>
        <v>5.7692993709492204E-3</v>
      </c>
      <c r="AI414" s="98">
        <f t="shared" si="265"/>
        <v>1.5707963267948966</v>
      </c>
      <c r="AJ414" s="98" t="str">
        <f t="shared" si="251"/>
        <v>1+5.80546262211578i</v>
      </c>
      <c r="AK414" s="98">
        <f t="shared" si="266"/>
        <v>5.8909588571626799</v>
      </c>
      <c r="AL414" s="98">
        <f t="shared" si="267"/>
        <v>1.40021866815712</v>
      </c>
      <c r="AM414" s="98" t="str">
        <f t="shared" si="252"/>
        <v>1+859.549965874437i</v>
      </c>
      <c r="AN414" s="98">
        <f t="shared" si="268"/>
        <v>859.55054757398989</v>
      </c>
      <c r="AO414" s="98">
        <f t="shared" si="269"/>
        <v>1.5696329278203915</v>
      </c>
      <c r="AP414" s="168" t="str">
        <f t="shared" si="270"/>
        <v>-0.287004814138536+1.67786202353596i</v>
      </c>
      <c r="AQ414" s="98">
        <f t="shared" si="271"/>
        <v>4.6203734383954433</v>
      </c>
      <c r="AR414" s="169">
        <f t="shared" si="272"/>
        <v>99.706722068038914</v>
      </c>
      <c r="AS414" s="168" t="str">
        <f t="shared" si="273"/>
        <v>0.0853504442004778+0.0248007502215201i</v>
      </c>
      <c r="AT414" s="190">
        <f t="shared" si="274"/>
        <v>-21.02385248523165</v>
      </c>
      <c r="AU414" s="169">
        <f t="shared" si="275"/>
        <v>16.202571463182839</v>
      </c>
      <c r="AV414" s="225"/>
      <c r="AX414">
        <f t="shared" si="276"/>
        <v>0</v>
      </c>
      <c r="AY414">
        <f t="shared" si="277"/>
        <v>0</v>
      </c>
    </row>
    <row r="415" spans="14:51" x14ac:dyDescent="0.25">
      <c r="N415" s="170">
        <v>97</v>
      </c>
      <c r="O415" s="199">
        <f t="shared" si="243"/>
        <v>93325.430079699145</v>
      </c>
      <c r="P415" s="189" t="str">
        <f t="shared" si="244"/>
        <v>87</v>
      </c>
      <c r="Q415" s="160" t="str">
        <f t="shared" si="245"/>
        <v>1+4397.85728297238i</v>
      </c>
      <c r="R415" s="160">
        <f t="shared" si="253"/>
        <v>4397.857396664107</v>
      </c>
      <c r="S415" s="160">
        <f t="shared" si="254"/>
        <v>1.5705689433400862</v>
      </c>
      <c r="T415" s="160" t="str">
        <f t="shared" si="246"/>
        <v>1+2.93190485531491i</v>
      </c>
      <c r="U415" s="160">
        <f t="shared" si="255"/>
        <v>3.0977517784062591</v>
      </c>
      <c r="V415" s="160">
        <f t="shared" si="256"/>
        <v>1.242094360391603</v>
      </c>
      <c r="W415" s="98" t="str">
        <f t="shared" si="247"/>
        <v>1-0.41535318783628i</v>
      </c>
      <c r="X415" s="160">
        <f t="shared" si="257"/>
        <v>1.082828827952858</v>
      </c>
      <c r="Y415" s="160">
        <f t="shared" si="258"/>
        <v>-0.39367142079691908</v>
      </c>
      <c r="Z415" s="98" t="str">
        <f t="shared" si="248"/>
        <v>0.9380648113809+0.872534884941717i</v>
      </c>
      <c r="AA415" s="160">
        <f t="shared" si="259"/>
        <v>1.2811255659736633</v>
      </c>
      <c r="AB415" s="160">
        <f t="shared" si="260"/>
        <v>0.74922156581489729</v>
      </c>
      <c r="AC415" s="171" t="str">
        <f t="shared" si="261"/>
        <v>0.00514149044522394-0.0515397793597323i</v>
      </c>
      <c r="AD415" s="190">
        <f t="shared" si="262"/>
        <v>-25.714143279774021</v>
      </c>
      <c r="AE415" s="169">
        <f t="shared" si="263"/>
        <v>-84.303151848226719</v>
      </c>
      <c r="AF415" s="98" t="str">
        <f t="shared" si="249"/>
        <v>-0.0000673063927557778</v>
      </c>
      <c r="AG415" s="98" t="str">
        <f t="shared" si="250"/>
        <v>0.0059036836166621i</v>
      </c>
      <c r="AH415" s="98">
        <f t="shared" si="264"/>
        <v>5.9036836166620997E-3</v>
      </c>
      <c r="AI415" s="98">
        <f t="shared" si="265"/>
        <v>1.5707963267948966</v>
      </c>
      <c r="AJ415" s="98" t="str">
        <f t="shared" si="251"/>
        <v>1+5.94068921815893i</v>
      </c>
      <c r="AK415" s="98">
        <f t="shared" si="266"/>
        <v>6.0242666264658107</v>
      </c>
      <c r="AL415" s="98">
        <f t="shared" si="267"/>
        <v>1.4040290894238638</v>
      </c>
      <c r="AM415" s="98" t="str">
        <f t="shared" si="252"/>
        <v>1+879.571456594473i</v>
      </c>
      <c r="AN415" s="98">
        <f t="shared" si="268"/>
        <v>879.57202505293606</v>
      </c>
      <c r="AO415" s="98">
        <f t="shared" si="269"/>
        <v>1.5696594099911023</v>
      </c>
      <c r="AP415" s="168" t="str">
        <f t="shared" si="270"/>
        <v>-0.2744433998819+1.64178369189036i</v>
      </c>
      <c r="AQ415" s="98">
        <f t="shared" si="271"/>
        <v>4.4260092670380837</v>
      </c>
      <c r="AR415" s="169">
        <f t="shared" si="272"/>
        <v>99.48991832790162</v>
      </c>
      <c r="AS415" s="168" t="str">
        <f t="shared" si="273"/>
        <v>0.0832061211181883+0.0225859674416267i</v>
      </c>
      <c r="AT415" s="190">
        <f t="shared" si="274"/>
        <v>-21.288134012735934</v>
      </c>
      <c r="AU415" s="169">
        <f t="shared" si="275"/>
        <v>15.186766479674917</v>
      </c>
      <c r="AV415" s="225"/>
      <c r="AX415">
        <f t="shared" si="276"/>
        <v>0</v>
      </c>
      <c r="AY415">
        <f t="shared" si="277"/>
        <v>0</v>
      </c>
    </row>
    <row r="416" spans="14:51" x14ac:dyDescent="0.25">
      <c r="N416" s="170">
        <v>98</v>
      </c>
      <c r="O416" s="199">
        <f t="shared" si="243"/>
        <v>95499.258602143804</v>
      </c>
      <c r="P416" s="189" t="str">
        <f t="shared" si="244"/>
        <v>87</v>
      </c>
      <c r="Q416" s="160" t="str">
        <f t="shared" si="245"/>
        <v>1+4500.29653871652i</v>
      </c>
      <c r="R416" s="160">
        <f t="shared" si="253"/>
        <v>4500.2966498203086</v>
      </c>
      <c r="S416" s="160">
        <f t="shared" si="254"/>
        <v>1.5705741192192539</v>
      </c>
      <c r="T416" s="160" t="str">
        <f t="shared" si="246"/>
        <v>1+3.00019769247767i</v>
      </c>
      <c r="U416" s="160">
        <f t="shared" si="255"/>
        <v>3.1624652083380043</v>
      </c>
      <c r="V416" s="160">
        <f t="shared" si="256"/>
        <v>1.2490655404736188</v>
      </c>
      <c r="W416" s="98" t="str">
        <f t="shared" si="247"/>
        <v>1-0.425028006434337i</v>
      </c>
      <c r="X416" s="160">
        <f t="shared" si="257"/>
        <v>1.0865766453654093</v>
      </c>
      <c r="Y416" s="160">
        <f t="shared" si="258"/>
        <v>-0.40189436890322539</v>
      </c>
      <c r="Z416" s="98" t="str">
        <f t="shared" si="248"/>
        <v>0.935145895868024+0.892858833281355i</v>
      </c>
      <c r="AA416" s="160">
        <f t="shared" si="259"/>
        <v>1.2929403477064794</v>
      </c>
      <c r="AB416" s="160">
        <f t="shared" si="260"/>
        <v>0.76226938189653282</v>
      </c>
      <c r="AC416" s="171" t="str">
        <f t="shared" si="261"/>
        <v>0.00436830684148116-0.0511929752657009i</v>
      </c>
      <c r="AD416" s="190">
        <f t="shared" si="262"/>
        <v>-25.784285113331784</v>
      </c>
      <c r="AE416" s="169">
        <f t="shared" si="263"/>
        <v>-85.12275422232014</v>
      </c>
      <c r="AF416" s="98" t="str">
        <f t="shared" si="249"/>
        <v>-0.0000673063927557778</v>
      </c>
      <c r="AG416" s="98" t="str">
        <f t="shared" si="250"/>
        <v>0.00604119807357303i</v>
      </c>
      <c r="AH416" s="98">
        <f t="shared" si="264"/>
        <v>6.0411980735730298E-3</v>
      </c>
      <c r="AI416" s="98">
        <f t="shared" si="265"/>
        <v>1.5707963267948966</v>
      </c>
      <c r="AJ416" s="98" t="str">
        <f t="shared" si="251"/>
        <v>1+6.07906564625988i</v>
      </c>
      <c r="AK416" s="98">
        <f t="shared" si="266"/>
        <v>6.1607661156334323</v>
      </c>
      <c r="AL416" s="98">
        <f t="shared" si="267"/>
        <v>1.4077575041573283</v>
      </c>
      <c r="AM416" s="98" t="str">
        <f t="shared" si="252"/>
        <v>1+900.059307743301i</v>
      </c>
      <c r="AN416" s="98">
        <f t="shared" si="268"/>
        <v>900.05986326207778</v>
      </c>
      <c r="AO416" s="98">
        <f t="shared" si="269"/>
        <v>1.5696852893555537</v>
      </c>
      <c r="AP416" s="168" t="str">
        <f t="shared" si="270"/>
        <v>-0.262416849529164+1.60639048754525i</v>
      </c>
      <c r="AQ416" s="98">
        <f t="shared" si="271"/>
        <v>4.2313982781144821</v>
      </c>
      <c r="AR416" s="169">
        <f t="shared" si="272"/>
        <v>99.277778677759258</v>
      </c>
      <c r="AS416" s="168" t="str">
        <f t="shared" si="273"/>
        <v>0.081089591176843+0.0204511058440838i</v>
      </c>
      <c r="AT416" s="190">
        <f t="shared" si="274"/>
        <v>-21.552886835217301</v>
      </c>
      <c r="AU416" s="169">
        <f t="shared" si="275"/>
        <v>14.155024455439101</v>
      </c>
      <c r="AV416" s="225"/>
      <c r="AX416">
        <f t="shared" si="276"/>
        <v>0</v>
      </c>
      <c r="AY416">
        <f t="shared" si="277"/>
        <v>0</v>
      </c>
    </row>
    <row r="417" spans="14:51" x14ac:dyDescent="0.25">
      <c r="N417" s="170">
        <v>99</v>
      </c>
      <c r="O417" s="199">
        <f t="shared" si="243"/>
        <v>97723.722095581266</v>
      </c>
      <c r="P417" s="189" t="str">
        <f t="shared" si="244"/>
        <v>87</v>
      </c>
      <c r="Q417" s="160" t="str">
        <f t="shared" si="245"/>
        <v>1+4605.12191125394i</v>
      </c>
      <c r="R417" s="160">
        <f t="shared" si="253"/>
        <v>4605.1220198286974</v>
      </c>
      <c r="S417" s="160">
        <f t="shared" si="254"/>
        <v>1.5705791772810394</v>
      </c>
      <c r="T417" s="160" t="str">
        <f t="shared" si="246"/>
        <v>1+3.07008127416928i</v>
      </c>
      <c r="U417" s="160">
        <f t="shared" si="255"/>
        <v>3.2288386503516815</v>
      </c>
      <c r="V417" s="160">
        <f t="shared" si="256"/>
        <v>1.2559094844566323</v>
      </c>
      <c r="W417" s="98" t="str">
        <f t="shared" si="247"/>
        <v>1-0.434928180507316i</v>
      </c>
      <c r="X417" s="160">
        <f t="shared" si="257"/>
        <v>1.0904872865831148</v>
      </c>
      <c r="Y417" s="160">
        <f t="shared" si="258"/>
        <v>-0.41024976246377054</v>
      </c>
      <c r="Z417" s="98" t="str">
        <f t="shared" si="248"/>
        <v>0.932089416105142+0.913656187192779i</v>
      </c>
      <c r="AA417" s="160">
        <f t="shared" si="259"/>
        <v>1.305204316576861</v>
      </c>
      <c r="AB417" s="160">
        <f t="shared" si="260"/>
        <v>0.77541162132626695</v>
      </c>
      <c r="AC417" s="171" t="str">
        <f t="shared" si="261"/>
        <v>0.00358824504454611-0.0508378825386148i</v>
      </c>
      <c r="AD417" s="190">
        <f t="shared" si="262"/>
        <v>-25.854668816151655</v>
      </c>
      <c r="AE417" s="169">
        <f t="shared" si="263"/>
        <v>-85.962638562326561</v>
      </c>
      <c r="AF417" s="98" t="str">
        <f t="shared" si="249"/>
        <v>-0.0000673063927557778</v>
      </c>
      <c r="AG417" s="98" t="str">
        <f t="shared" si="250"/>
        <v>0.00618191565366728i</v>
      </c>
      <c r="AH417" s="98">
        <f t="shared" si="264"/>
        <v>6.1819156536672797E-3</v>
      </c>
      <c r="AI417" s="98">
        <f t="shared" si="265"/>
        <v>1.5707963267948966</v>
      </c>
      <c r="AJ417" s="98" t="str">
        <f t="shared" si="251"/>
        <v>1+6.2206652754324i</v>
      </c>
      <c r="AK417" s="98">
        <f t="shared" si="266"/>
        <v>6.300529856208164</v>
      </c>
      <c r="AL417" s="98">
        <f t="shared" si="267"/>
        <v>1.4114054743711673</v>
      </c>
      <c r="AM417" s="98" t="str">
        <f t="shared" si="252"/>
        <v>1+921.024382250785i</v>
      </c>
      <c r="AN417" s="98">
        <f t="shared" si="268"/>
        <v>921.02492512441825</v>
      </c>
      <c r="AO417" s="98">
        <f t="shared" si="269"/>
        <v>1.5697105796351882</v>
      </c>
      <c r="AP417" s="168" t="str">
        <f t="shared" si="270"/>
        <v>-0.250903669490808+1.57167537143746i</v>
      </c>
      <c r="AQ417" s="98">
        <f t="shared" si="271"/>
        <v>4.0365509942102538</v>
      </c>
      <c r="AR417" s="169">
        <f t="shared" si="272"/>
        <v>99.070214407002652</v>
      </c>
      <c r="AS417" s="168" t="str">
        <f t="shared" si="273"/>
        <v>0.0790003440732625+0.0183949676412768i</v>
      </c>
      <c r="AT417" s="190">
        <f t="shared" si="274"/>
        <v>-21.818117821941406</v>
      </c>
      <c r="AU417" s="169">
        <f t="shared" si="275"/>
        <v>13.107575844676116</v>
      </c>
      <c r="AV417" s="225"/>
      <c r="AX417">
        <f t="shared" si="276"/>
        <v>0</v>
      </c>
      <c r="AY417">
        <f t="shared" si="277"/>
        <v>0</v>
      </c>
    </row>
    <row r="418" spans="14:51" x14ac:dyDescent="0.25">
      <c r="N418" s="170">
        <v>100</v>
      </c>
      <c r="O418" s="199">
        <f t="shared" si="243"/>
        <v>100000</v>
      </c>
      <c r="P418" s="189" t="str">
        <f t="shared" si="244"/>
        <v>87</v>
      </c>
      <c r="Q418" s="160" t="str">
        <f t="shared" si="245"/>
        <v>1+4712.3889803847i</v>
      </c>
      <c r="R418" s="160">
        <f t="shared" si="253"/>
        <v>4712.3890864879941</v>
      </c>
      <c r="S418" s="160">
        <f t="shared" si="254"/>
        <v>1.5705841202072928</v>
      </c>
      <c r="T418" s="160" t="str">
        <f t="shared" si="246"/>
        <v>1+3.1415926535898i</v>
      </c>
      <c r="U418" s="160">
        <f t="shared" si="255"/>
        <v>3.2969083094756217</v>
      </c>
      <c r="V418" s="160">
        <f t="shared" si="256"/>
        <v>1.2626272556789124</v>
      </c>
      <c r="W418" s="98" t="str">
        <f t="shared" si="247"/>
        <v>1-0.445058959258555i</v>
      </c>
      <c r="X418" s="160">
        <f t="shared" si="257"/>
        <v>1.094567255684322</v>
      </c>
      <c r="Y418" s="160">
        <f t="shared" si="258"/>
        <v>-0.41873736407359202</v>
      </c>
      <c r="Z418" s="98" t="str">
        <f t="shared" si="248"/>
        <v>0.928888888888889+0.934937973708323i</v>
      </c>
      <c r="AA418" s="160">
        <f t="shared" si="259"/>
        <v>1.3179315545896377</v>
      </c>
      <c r="AB418" s="160">
        <f t="shared" si="260"/>
        <v>0.78864367063947471</v>
      </c>
      <c r="AC418" s="171" t="str">
        <f t="shared" si="261"/>
        <v>0.00280207324053262-0.050473842382442i</v>
      </c>
      <c r="AD418" s="190">
        <f t="shared" si="262"/>
        <v>-25.925308481025425</v>
      </c>
      <c r="AE418" s="169">
        <f t="shared" si="263"/>
        <v>-86.822466162755333</v>
      </c>
      <c r="AF418" s="98" t="str">
        <f t="shared" si="249"/>
        <v>-0.0000673063927557778</v>
      </c>
      <c r="AG418" s="98" t="str">
        <f t="shared" si="250"/>
        <v>0.00632591096726841i</v>
      </c>
      <c r="AH418" s="98">
        <f t="shared" si="264"/>
        <v>6.32591096726841E-3</v>
      </c>
      <c r="AI418" s="98">
        <f t="shared" si="265"/>
        <v>1.5707963267948966</v>
      </c>
      <c r="AJ418" s="98" t="str">
        <f t="shared" si="251"/>
        <v>1+6.3655631836742i</v>
      </c>
      <c r="AK418" s="98">
        <f t="shared" si="266"/>
        <v>6.4436321004033443</v>
      </c>
      <c r="AL418" s="98">
        <f t="shared" si="267"/>
        <v>1.4149745457018637</v>
      </c>
      <c r="AM418" s="98" t="str">
        <f t="shared" si="252"/>
        <v>1+942.477796076938i</v>
      </c>
      <c r="AN418" s="98">
        <f t="shared" si="268"/>
        <v>942.47832659326582</v>
      </c>
      <c r="AO418" s="98">
        <f t="shared" si="269"/>
        <v>1.5697352942391174</v>
      </c>
      <c r="AP418" s="168" t="str">
        <f t="shared" si="270"/>
        <v>-0.239883119554354+1.53763094872624i</v>
      </c>
      <c r="AQ418" s="98">
        <f t="shared" si="271"/>
        <v>3.8414775139301232</v>
      </c>
      <c r="AR418" s="169">
        <f t="shared" si="272"/>
        <v>98.867137725470059</v>
      </c>
      <c r="AS418" s="168" t="str">
        <f t="shared" si="273"/>
        <v>0.0769379720782143+0.0164163773018355i</v>
      </c>
      <c r="AT418" s="190">
        <f t="shared" si="274"/>
        <v>-22.083830967095295</v>
      </c>
      <c r="AU418" s="169">
        <f t="shared" si="275"/>
        <v>12.044671562714701</v>
      </c>
      <c r="AV418" s="225"/>
      <c r="AX418">
        <f t="shared" si="276"/>
        <v>0</v>
      </c>
      <c r="AY418">
        <f t="shared" si="277"/>
        <v>0</v>
      </c>
    </row>
    <row r="419" spans="14:51" x14ac:dyDescent="0.25">
      <c r="N419" s="170">
        <v>1</v>
      </c>
      <c r="O419" s="199">
        <f>10^(5+(N419/100))</f>
        <v>102329.29922807543</v>
      </c>
      <c r="P419" s="189" t="str">
        <f t="shared" si="244"/>
        <v>87</v>
      </c>
      <c r="Q419" s="160" t="str">
        <f t="shared" si="245"/>
        <v>1+4822.15462052871i</v>
      </c>
      <c r="R419" s="160">
        <f t="shared" si="253"/>
        <v>4822.154724216799</v>
      </c>
      <c r="S419" s="160">
        <f t="shared" si="254"/>
        <v>1.570588950618818</v>
      </c>
      <c r="T419" s="160" t="str">
        <f t="shared" si="246"/>
        <v>1+3.21476974701913i</v>
      </c>
      <c r="U419" s="160">
        <f t="shared" si="255"/>
        <v>3.3667112329912467</v>
      </c>
      <c r="V419" s="160">
        <f t="shared" si="256"/>
        <v>1.2692199898451297</v>
      </c>
      <c r="W419" s="98" t="str">
        <f t="shared" si="247"/>
        <v>1-0.455425714161045i</v>
      </c>
      <c r="X419" s="160">
        <f t="shared" si="257"/>
        <v>1.0988232711037285</v>
      </c>
      <c r="Y419" s="160">
        <f t="shared" si="258"/>
        <v>-0.42735678139151945</v>
      </c>
      <c r="Z419" s="98" t="str">
        <f t="shared" si="248"/>
        <v>0.925537525471936+0.956715476712895i</v>
      </c>
      <c r="AA419" s="160">
        <f t="shared" si="259"/>
        <v>1.3311364371989434</v>
      </c>
      <c r="AB419" s="160">
        <f t="shared" si="260"/>
        <v>0.8019608147657874</v>
      </c>
      <c r="AC419" s="171" t="str">
        <f t="shared" si="261"/>
        <v>0.00201058747121848-0.0501002413028219i</v>
      </c>
      <c r="AD419" s="190">
        <f t="shared" si="262"/>
        <v>-25.996214871616679</v>
      </c>
      <c r="AE419" s="169">
        <f t="shared" si="263"/>
        <v>-87.701879469557397</v>
      </c>
      <c r="AF419" s="98" t="str">
        <f t="shared" si="249"/>
        <v>-0.0000673063927557778</v>
      </c>
      <c r="AG419" s="98" t="str">
        <f t="shared" si="250"/>
        <v>0.00647326036259773i</v>
      </c>
      <c r="AH419" s="98">
        <f t="shared" si="264"/>
        <v>6.4732603625977303E-3</v>
      </c>
      <c r="AI419" s="98">
        <f t="shared" si="265"/>
        <v>1.5707963267948966</v>
      </c>
      <c r="AJ419" s="98" t="str">
        <f t="shared" si="251"/>
        <v>1+6.51383619777417i</v>
      </c>
      <c r="AK419" s="98">
        <f t="shared" si="266"/>
        <v>6.5901488610981351</v>
      </c>
      <c r="AL419" s="98">
        <f t="shared" si="267"/>
        <v>1.4184662466221531</v>
      </c>
      <c r="AM419" s="98" t="str">
        <f t="shared" si="252"/>
        <v>1+964.43092410574i</v>
      </c>
      <c r="AN419" s="98">
        <f t="shared" si="268"/>
        <v>964.43144254604829</v>
      </c>
      <c r="AO419" s="98">
        <f t="shared" si="269"/>
        <v>1.5697594462712308</v>
      </c>
      <c r="AP419" s="168" t="str">
        <f t="shared" si="270"/>
        <v>-0.229335196206538+1.50424950568849i</v>
      </c>
      <c r="AQ419" s="98">
        <f t="shared" si="271"/>
        <v>3.6461875268583976</v>
      </c>
      <c r="AR419" s="169">
        <f t="shared" si="272"/>
        <v>98.668461808922316</v>
      </c>
      <c r="AS419" s="168" t="str">
        <f t="shared" si="273"/>
        <v>0.0749021647424416+0.0145141738789014i</v>
      </c>
      <c r="AT419" s="190">
        <f t="shared" si="274"/>
        <v>-22.350027344758281</v>
      </c>
      <c r="AU419" s="169">
        <f t="shared" si="275"/>
        <v>10.966582339364907</v>
      </c>
      <c r="AV419" s="225"/>
      <c r="AX419">
        <f t="shared" si="276"/>
        <v>0</v>
      </c>
      <c r="AY419">
        <f t="shared" si="277"/>
        <v>0</v>
      </c>
    </row>
    <row r="420" spans="14:51" x14ac:dyDescent="0.25">
      <c r="N420" s="170">
        <v>2</v>
      </c>
      <c r="O420" s="199">
        <f t="shared" ref="O420:O483" si="278">10^(5+(N420/100))</f>
        <v>104712.85480508996</v>
      </c>
      <c r="P420" s="189" t="str">
        <f t="shared" si="244"/>
        <v>87</v>
      </c>
      <c r="Q420" s="160" t="str">
        <f t="shared" si="245"/>
        <v>1+4934.47703088129i</v>
      </c>
      <c r="R420" s="160">
        <f t="shared" si="253"/>
        <v>4934.4771322091501</v>
      </c>
      <c r="S420" s="160">
        <f t="shared" si="254"/>
        <v>1.5705936710767623</v>
      </c>
      <c r="T420" s="160" t="str">
        <f t="shared" si="246"/>
        <v>1+3.28965135392085i</v>
      </c>
      <c r="U420" s="160">
        <f t="shared" si="255"/>
        <v>3.4382853328880785</v>
      </c>
      <c r="V420" s="160">
        <f t="shared" si="256"/>
        <v>1.2756888893113916</v>
      </c>
      <c r="W420" s="98" t="str">
        <f t="shared" si="247"/>
        <v>1-0.466033941805455i</v>
      </c>
      <c r="X420" s="160">
        <f t="shared" si="257"/>
        <v>1.103262269324357</v>
      </c>
      <c r="Y420" s="160">
        <f t="shared" si="258"/>
        <v>-0.43610746051516258</v>
      </c>
      <c r="Z420" s="98" t="str">
        <f t="shared" si="248"/>
        <v>0.922028217163151+0.979000242926847i</v>
      </c>
      <c r="AA420" s="160">
        <f t="shared" si="259"/>
        <v>1.3448336361408737</v>
      </c>
      <c r="AB420" s="160">
        <f t="shared" si="260"/>
        <v>0.81535825067623235</v>
      </c>
      <c r="AC420" s="171" t="str">
        <f t="shared" si="261"/>
        <v>0.00121460885298856-0.0497165131625219i</v>
      </c>
      <c r="AD420" s="190">
        <f t="shared" si="262"/>
        <v>-26.067395407515068</v>
      </c>
      <c r="AE420" s="169">
        <f t="shared" si="263"/>
        <v>-88.600502809987404</v>
      </c>
      <c r="AF420" s="98" t="str">
        <f t="shared" si="249"/>
        <v>-0.0000673063927557778</v>
      </c>
      <c r="AG420" s="98" t="str">
        <f t="shared" si="250"/>
        <v>0.00662404196625503i</v>
      </c>
      <c r="AH420" s="98">
        <f t="shared" si="264"/>
        <v>6.6240419662550298E-3</v>
      </c>
      <c r="AI420" s="98">
        <f t="shared" si="265"/>
        <v>1.5707963267948966</v>
      </c>
      <c r="AJ420" s="98" t="str">
        <f t="shared" si="251"/>
        <v>1+6.66556293404702i</v>
      </c>
      <c r="AK420" s="98">
        <f t="shared" si="266"/>
        <v>6.74015795272941</v>
      </c>
      <c r="AL420" s="98">
        <f t="shared" si="267"/>
        <v>1.4218820877373537</v>
      </c>
      <c r="AM420" s="98" t="str">
        <f t="shared" si="252"/>
        <v>1+986.895406176256i</v>
      </c>
      <c r="AN420" s="98">
        <f t="shared" si="268"/>
        <v>986.89591281542812</v>
      </c>
      <c r="AO420" s="98">
        <f t="shared" si="269"/>
        <v>1.5697830485371427</v>
      </c>
      <c r="AP420" s="168" t="str">
        <f t="shared" si="270"/>
        <v>-0.219240615384782+1.4715230444166i</v>
      </c>
      <c r="AQ420" s="98">
        <f t="shared" si="271"/>
        <v>3.4506903281787578</v>
      </c>
      <c r="AR420" s="169">
        <f t="shared" si="272"/>
        <v>98.474100839757753</v>
      </c>
      <c r="AS420" s="168" t="str">
        <f t="shared" si="273"/>
        <v>0.0728927032143112+0.012687203857662i</v>
      </c>
      <c r="AT420" s="190">
        <f t="shared" si="274"/>
        <v>-22.616705079336306</v>
      </c>
      <c r="AU420" s="169">
        <f t="shared" si="275"/>
        <v>9.8735980297703474</v>
      </c>
      <c r="AV420" s="225"/>
      <c r="AX420">
        <f t="shared" si="276"/>
        <v>0</v>
      </c>
      <c r="AY420">
        <f t="shared" si="277"/>
        <v>0</v>
      </c>
    </row>
    <row r="421" spans="14:51" x14ac:dyDescent="0.25">
      <c r="N421" s="170">
        <v>3</v>
      </c>
      <c r="O421" s="199">
        <f t="shared" si="278"/>
        <v>107151.93052376082</v>
      </c>
      <c r="P421" s="189" t="str">
        <f t="shared" si="244"/>
        <v>87</v>
      </c>
      <c r="Q421" s="160" t="str">
        <f t="shared" si="245"/>
        <v>1+5049.41576627118i</v>
      </c>
      <c r="R421" s="160">
        <f t="shared" si="253"/>
        <v>5049.4158652925353</v>
      </c>
      <c r="S421" s="160">
        <f t="shared" si="254"/>
        <v>1.5705982840839743</v>
      </c>
      <c r="T421" s="160" t="str">
        <f t="shared" si="246"/>
        <v>1+3.36627717751411i</v>
      </c>
      <c r="U421" s="160">
        <f t="shared" si="255"/>
        <v>3.511669408679063</v>
      </c>
      <c r="V421" s="160">
        <f t="shared" si="256"/>
        <v>1.2820352175683984</v>
      </c>
      <c r="W421" s="98" t="str">
        <f t="shared" si="247"/>
        <v>1-0.4768892668145i</v>
      </c>
      <c r="X421" s="160">
        <f t="shared" si="257"/>
        <v>1.1078914083983462</v>
      </c>
      <c r="Y421" s="160">
        <f t="shared" si="258"/>
        <v>-0.44498867952120164</v>
      </c>
      <c r="Z421" s="98" t="str">
        <f t="shared" si="248"/>
        <v>0.91835352024911+1.0018040880282i</v>
      </c>
      <c r="AA421" s="160">
        <f t="shared" si="259"/>
        <v>1.3590381226970589</v>
      </c>
      <c r="AB421" s="160">
        <f t="shared" si="260"/>
        <v>0.82883110168451213</v>
      </c>
      <c r="AC421" s="171" t="str">
        <f t="shared" si="261"/>
        <v>0.000414980592953622-0.0493221410054519i</v>
      </c>
      <c r="AD421" s="190">
        <f t="shared" si="262"/>
        <v>-26.13885416491426</v>
      </c>
      <c r="AE421" s="169">
        <f t="shared" si="263"/>
        <v>-89.517943158060717</v>
      </c>
      <c r="AF421" s="98" t="str">
        <f t="shared" si="249"/>
        <v>-0.0000673063927557778</v>
      </c>
      <c r="AG421" s="98" t="str">
        <f t="shared" si="250"/>
        <v>0.00677833572464241i</v>
      </c>
      <c r="AH421" s="98">
        <f t="shared" si="264"/>
        <v>6.7783357246424102E-3</v>
      </c>
      <c r="AI421" s="98">
        <f t="shared" si="265"/>
        <v>1.5707963267948966</v>
      </c>
      <c r="AJ421" s="98" t="str">
        <f t="shared" si="251"/>
        <v>1+6.82082384001667i</v>
      </c>
      <c r="AK421" s="98">
        <f t="shared" si="266"/>
        <v>6.8937390331038619</v>
      </c>
      <c r="AL421" s="98">
        <f t="shared" si="267"/>
        <v>1.4252235611596102</v>
      </c>
      <c r="AM421" s="98" t="str">
        <f t="shared" si="252"/>
        <v>1+1009.88315325423i</v>
      </c>
      <c r="AN421" s="98">
        <f t="shared" si="268"/>
        <v>1009.8836483608924</v>
      </c>
      <c r="AO421" s="98">
        <f t="shared" si="269"/>
        <v>1.5698061135509813</v>
      </c>
      <c r="AP421" s="168" t="str">
        <f t="shared" si="270"/>
        <v>-0.209580794776709+1.43944331540505i</v>
      </c>
      <c r="AQ421" s="98">
        <f t="shared" si="271"/>
        <v>3.2549948329429808</v>
      </c>
      <c r="AR421" s="169">
        <f t="shared" si="272"/>
        <v>98.283970043254698</v>
      </c>
      <c r="AS421" s="168" t="str">
        <f t="shared" si="273"/>
        <v>0.0709094542092749+0.0109343145525614i</v>
      </c>
      <c r="AT421" s="190">
        <f t="shared" si="274"/>
        <v>-22.883859331971284</v>
      </c>
      <c r="AU421" s="169">
        <f t="shared" si="275"/>
        <v>8.7660268851939627</v>
      </c>
      <c r="AV421" s="225"/>
      <c r="AX421">
        <f t="shared" si="276"/>
        <v>0</v>
      </c>
      <c r="AY421">
        <f t="shared" si="277"/>
        <v>0</v>
      </c>
    </row>
    <row r="422" spans="14:51" x14ac:dyDescent="0.25">
      <c r="N422" s="170">
        <v>4</v>
      </c>
      <c r="O422" s="199">
        <f t="shared" si="278"/>
        <v>109647.81961431868</v>
      </c>
      <c r="P422" s="189" t="str">
        <f t="shared" si="244"/>
        <v>87</v>
      </c>
      <c r="Q422" s="160" t="str">
        <f t="shared" si="245"/>
        <v>1+5167.03176873725i</v>
      </c>
      <c r="R422" s="160">
        <f t="shared" si="253"/>
        <v>5167.031865504604</v>
      </c>
      <c r="S422" s="160">
        <f t="shared" si="254"/>
        <v>1.5706027920863304</v>
      </c>
      <c r="T422" s="160" t="str">
        <f t="shared" si="246"/>
        <v>1+3.44468784582482i</v>
      </c>
      <c r="U422" s="160">
        <f t="shared" si="255"/>
        <v>3.5869031705878593</v>
      </c>
      <c r="V422" s="160">
        <f t="shared" si="256"/>
        <v>1.2882602939289531</v>
      </c>
      <c r="W422" s="98" t="str">
        <f t="shared" si="247"/>
        <v>1-0.487997444825185i</v>
      </c>
      <c r="X422" s="160">
        <f t="shared" si="257"/>
        <v>1.1127180712812699</v>
      </c>
      <c r="Y422" s="160">
        <f t="shared" si="258"/>
        <v>-0.45399954221728611</v>
      </c>
      <c r="Z422" s="98" t="str">
        <f t="shared" si="248"/>
        <v>0.914505640204983+1.02513910291747i</v>
      </c>
      <c r="AA422" s="160">
        <f t="shared" si="259"/>
        <v>1.3737651714529526</v>
      </c>
      <c r="AB422" s="160">
        <f t="shared" si="260"/>
        <v>0.84237443232175724</v>
      </c>
      <c r="AC422" s="171" t="str">
        <f t="shared" si="261"/>
        <v>-0.000387435174480402-0.0489166586273189i</v>
      </c>
      <c r="AD422" s="190">
        <f t="shared" si="262"/>
        <v>-26.210591893328296</v>
      </c>
      <c r="AE422" s="169">
        <f t="shared" si="263"/>
        <v>-90.453790933285248</v>
      </c>
      <c r="AF422" s="98" t="str">
        <f t="shared" si="249"/>
        <v>-0.0000673063927557778</v>
      </c>
      <c r="AG422" s="98" t="str">
        <f t="shared" si="250"/>
        <v>0.00693622344635286i</v>
      </c>
      <c r="AH422" s="98">
        <f t="shared" si="264"/>
        <v>6.9362234463528601E-3</v>
      </c>
      <c r="AI422" s="98">
        <f t="shared" si="265"/>
        <v>1.5707963267948966</v>
      </c>
      <c r="AJ422" s="98" t="str">
        <f t="shared" si="251"/>
        <v>1+6.97970123707056i</v>
      </c>
      <c r="AK422" s="98">
        <f t="shared" si="266"/>
        <v>7.0509736461544303</v>
      </c>
      <c r="AL422" s="98">
        <f t="shared" si="267"/>
        <v>1.428492139955273</v>
      </c>
      <c r="AM422" s="98" t="str">
        <f t="shared" si="252"/>
        <v>1+1033.40635374745i</v>
      </c>
      <c r="AN422" s="98">
        <f t="shared" si="268"/>
        <v>1033.4068375841143</v>
      </c>
      <c r="AO422" s="98">
        <f t="shared" si="269"/>
        <v>1.5698286535420245</v>
      </c>
      <c r="AP422" s="168" t="str">
        <f t="shared" si="270"/>
        <v>-0.200337835775518+1.40800184811253i</v>
      </c>
      <c r="AQ422" s="98">
        <f t="shared" si="271"/>
        <v>3.0591095899805931</v>
      </c>
      <c r="AR422" s="169">
        <f t="shared" si="272"/>
        <v>98.097985719614258</v>
      </c>
      <c r="AS422" s="168" t="str">
        <f t="shared" si="273"/>
        <v>0.0689523636751135+0.00925434808107468i</v>
      </c>
      <c r="AT422" s="190">
        <f t="shared" si="274"/>
        <v>-23.151482303347699</v>
      </c>
      <c r="AU422" s="169">
        <f t="shared" si="275"/>
        <v>7.6441947863290158</v>
      </c>
      <c r="AV422" s="225"/>
      <c r="AX422">
        <f t="shared" si="276"/>
        <v>0</v>
      </c>
      <c r="AY422">
        <f t="shared" si="277"/>
        <v>0</v>
      </c>
    </row>
    <row r="423" spans="14:51" x14ac:dyDescent="0.25">
      <c r="N423" s="170">
        <v>5</v>
      </c>
      <c r="O423" s="199">
        <f t="shared" si="278"/>
        <v>112201.84543019651</v>
      </c>
      <c r="P423" s="189" t="str">
        <f t="shared" si="244"/>
        <v>87</v>
      </c>
      <c r="Q423" s="160" t="str">
        <f t="shared" si="245"/>
        <v>1+5287.38739984086i</v>
      </c>
      <c r="R423" s="160">
        <f t="shared" si="253"/>
        <v>5287.3874944055206</v>
      </c>
      <c r="S423" s="160">
        <f t="shared" si="254"/>
        <v>1.5706071974740325</v>
      </c>
      <c r="T423" s="160" t="str">
        <f t="shared" si="246"/>
        <v>1+3.52492493322723i</v>
      </c>
      <c r="U423" s="160">
        <f t="shared" si="255"/>
        <v>3.6640272631200483</v>
      </c>
      <c r="V423" s="160">
        <f t="shared" si="256"/>
        <v>1.294365488424289</v>
      </c>
      <c r="W423" s="98" t="str">
        <f t="shared" si="247"/>
        <v>1-0.499364365540525i</v>
      </c>
      <c r="X423" s="160">
        <f t="shared" si="257"/>
        <v>1.1177498689651864</v>
      </c>
      <c r="Y423" s="160">
        <f t="shared" si="258"/>
        <v>-0.46313897215423555</v>
      </c>
      <c r="Z423" s="98" t="str">
        <f t="shared" si="248"/>
        <v>0.910476415161303+1.04901766012842i</v>
      </c>
      <c r="AA423" s="160">
        <f t="shared" si="259"/>
        <v>1.3890303646163691</v>
      </c>
      <c r="AB423" s="160">
        <f t="shared" si="260"/>
        <v>0.85598326369734057</v>
      </c>
      <c r="AC423" s="171" t="str">
        <f t="shared" si="261"/>
        <v>-0.00119176070466057-0.0484996518736539i</v>
      </c>
      <c r="AD423" s="190">
        <f t="shared" si="262"/>
        <v>-26.282606048667287</v>
      </c>
      <c r="AE423" s="169">
        <f t="shared" si="263"/>
        <v>-91.407620830187199</v>
      </c>
      <c r="AF423" s="98" t="str">
        <f t="shared" si="249"/>
        <v>-0.0000673063927557778</v>
      </c>
      <c r="AG423" s="98" t="str">
        <f t="shared" si="250"/>
        <v>0.00709778884554635i</v>
      </c>
      <c r="AH423" s="98">
        <f t="shared" si="264"/>
        <v>7.0977888455463498E-3</v>
      </c>
      <c r="AI423" s="98">
        <f t="shared" si="265"/>
        <v>1.5707963267948966</v>
      </c>
      <c r="AJ423" s="98" t="str">
        <f t="shared" si="251"/>
        <v>1+7.14227936410762i</v>
      </c>
      <c r="AK423" s="98">
        <f t="shared" si="266"/>
        <v>7.2119452656656744</v>
      </c>
      <c r="AL423" s="98">
        <f t="shared" si="267"/>
        <v>1.4316892776608272</v>
      </c>
      <c r="AM423" s="98" t="str">
        <f t="shared" si="252"/>
        <v>1+1057.47747996817i</v>
      </c>
      <c r="AN423" s="98">
        <f t="shared" si="268"/>
        <v>1057.477952791372</v>
      </c>
      <c r="AO423" s="98">
        <f t="shared" si="269"/>
        <v>1.569850680461182</v>
      </c>
      <c r="AP423" s="168" t="str">
        <f t="shared" si="270"/>
        <v>-0.191494505188971+1.37718997958632i</v>
      </c>
      <c r="AQ423" s="98">
        <f t="shared" si="271"/>
        <v>2.863042795443405</v>
      </c>
      <c r="AR423" s="169">
        <f t="shared" si="272"/>
        <v>97.916065272067286</v>
      </c>
      <c r="AS423" s="168" t="str">
        <f t="shared" si="273"/>
        <v>0.0670214502002637+0.00764613593685943i</v>
      </c>
      <c r="AT423" s="190">
        <f t="shared" si="274"/>
        <v>-23.419563253223878</v>
      </c>
      <c r="AU423" s="169">
        <f t="shared" si="275"/>
        <v>6.5084444418800738</v>
      </c>
      <c r="AV423" s="225"/>
      <c r="AX423">
        <f t="shared" si="276"/>
        <v>0</v>
      </c>
      <c r="AY423">
        <f t="shared" si="277"/>
        <v>0</v>
      </c>
    </row>
    <row r="424" spans="14:51" x14ac:dyDescent="0.25">
      <c r="N424" s="170">
        <v>6</v>
      </c>
      <c r="O424" s="199">
        <f t="shared" si="278"/>
        <v>114815.36214968823</v>
      </c>
      <c r="P424" s="189" t="str">
        <f t="shared" si="244"/>
        <v>87</v>
      </c>
      <c r="Q424" s="160" t="str">
        <f t="shared" si="245"/>
        <v>1+5410.54647373069i</v>
      </c>
      <c r="R424" s="160">
        <f t="shared" si="253"/>
        <v>5410.546566142797</v>
      </c>
      <c r="S424" s="160">
        <f t="shared" si="254"/>
        <v>1.5706115025828751</v>
      </c>
      <c r="T424" s="160" t="str">
        <f t="shared" si="246"/>
        <v>1+3.60703098248712i</v>
      </c>
      <c r="U424" s="160">
        <f t="shared" si="255"/>
        <v>3.7430832890308494</v>
      </c>
      <c r="V424" s="160">
        <f t="shared" si="256"/>
        <v>1.3003522169121453</v>
      </c>
      <c r="W424" s="98" t="str">
        <f t="shared" si="247"/>
        <v>1-0.510996055852343i</v>
      </c>
      <c r="X424" s="160">
        <f t="shared" si="257"/>
        <v>1.1229946433962412</v>
      </c>
      <c r="Y424" s="160">
        <f t="shared" si="258"/>
        <v>-0.47240570694930462</v>
      </c>
      <c r="Z424" s="98" t="str">
        <f t="shared" si="248"/>
        <v>0.906257298591544+1.07345242038817i</v>
      </c>
      <c r="AA424" s="160">
        <f t="shared" si="259"/>
        <v>1.4048495969631993</v>
      </c>
      <c r="AB424" s="160">
        <f t="shared" si="260"/>
        <v>0.86965258925252398</v>
      </c>
      <c r="AC424" s="171" t="str">
        <f t="shared" si="261"/>
        <v>-0.00199710608512227-0.0480707596489553i</v>
      </c>
      <c r="AD424" s="190">
        <f t="shared" si="262"/>
        <v>-26.354890842889724</v>
      </c>
      <c r="AE424" s="169">
        <f t="shared" si="263"/>
        <v>-92.378992676036077</v>
      </c>
      <c r="AF424" s="98" t="str">
        <f t="shared" si="249"/>
        <v>-0.0000673063927557778</v>
      </c>
      <c r="AG424" s="98" t="str">
        <f t="shared" si="250"/>
        <v>0.00726311758633607i</v>
      </c>
      <c r="AH424" s="98">
        <f t="shared" si="264"/>
        <v>7.2631175863360703E-3</v>
      </c>
      <c r="AI424" s="98">
        <f t="shared" si="265"/>
        <v>1.5707963267948966</v>
      </c>
      <c r="AJ424" s="98" t="str">
        <f t="shared" si="251"/>
        <v>1+7.30864442220274i</v>
      </c>
      <c r="AK424" s="98">
        <f t="shared" si="266"/>
        <v>7.3767393399926506</v>
      </c>
      <c r="AL424" s="98">
        <f t="shared" si="267"/>
        <v>1.4348164078629861</v>
      </c>
      <c r="AM424" s="98" t="str">
        <f t="shared" si="252"/>
        <v>1+1082.10929474614i</v>
      </c>
      <c r="AN424" s="98">
        <f t="shared" si="268"/>
        <v>1082.1097568065766</v>
      </c>
      <c r="AO424" s="98">
        <f t="shared" si="269"/>
        <v>1.5698722059873325</v>
      </c>
      <c r="AP424" s="168" t="str">
        <f t="shared" si="270"/>
        <v>-0.183034216790193+1.34699888123533i</v>
      </c>
      <c r="AQ424" s="98">
        <f t="shared" si="271"/>
        <v>2.6668023059818329</v>
      </c>
      <c r="AR424" s="169">
        <f t="shared" si="272"/>
        <v>97.738127231295948</v>
      </c>
      <c r="AS424" s="168" t="str">
        <f t="shared" si="273"/>
        <v>0.0651167982154125+0.00610849418048818i</v>
      </c>
      <c r="AT424" s="190">
        <f t="shared" si="274"/>
        <v>-23.688088536907891</v>
      </c>
      <c r="AU424" s="169">
        <f t="shared" si="275"/>
        <v>5.3591345552598888</v>
      </c>
      <c r="AV424" s="225"/>
      <c r="AX424">
        <f t="shared" si="276"/>
        <v>0</v>
      </c>
      <c r="AY424">
        <f t="shared" si="277"/>
        <v>0</v>
      </c>
    </row>
    <row r="425" spans="14:51" x14ac:dyDescent="0.25">
      <c r="N425" s="170">
        <v>7</v>
      </c>
      <c r="O425" s="199">
        <f t="shared" si="278"/>
        <v>117489.75549395311</v>
      </c>
      <c r="P425" s="189" t="str">
        <f t="shared" si="244"/>
        <v>87</v>
      </c>
      <c r="Q425" s="160" t="str">
        <f t="shared" si="245"/>
        <v>1+5536.57429097797i</v>
      </c>
      <c r="R425" s="160">
        <f t="shared" si="253"/>
        <v>5536.5743812865203</v>
      </c>
      <c r="S425" s="160">
        <f t="shared" si="254"/>
        <v>1.5706157096954827</v>
      </c>
      <c r="T425" s="160" t="str">
        <f t="shared" si="246"/>
        <v>1+3.69104952731864i</v>
      </c>
      <c r="U425" s="160">
        <f t="shared" si="255"/>
        <v>3.8241138337030653</v>
      </c>
      <c r="V425" s="160">
        <f t="shared" si="256"/>
        <v>1.3062219363981296</v>
      </c>
      <c r="W425" s="98" t="str">
        <f t="shared" si="247"/>
        <v>1-0.522898683036808i</v>
      </c>
      <c r="X425" s="160">
        <f t="shared" si="257"/>
        <v>1.1284604701635004</v>
      </c>
      <c r="Y425" s="160">
        <f t="shared" si="258"/>
        <v>-0.48179829297307303</v>
      </c>
      <c r="Z425" s="98" t="str">
        <f t="shared" si="248"/>
        <v>0.901839341183794+1.09845633933003i</v>
      </c>
      <c r="AA425" s="160">
        <f t="shared" si="259"/>
        <v>1.4212390814782534</v>
      </c>
      <c r="AB425" s="160">
        <f t="shared" si="260"/>
        <v>0.88337739080879962</v>
      </c>
      <c r="AC425" s="171" t="str">
        <f t="shared" si="261"/>
        <v>-0.00280257277325791-0.0476296746240202i</v>
      </c>
      <c r="AD425" s="190">
        <f t="shared" si="262"/>
        <v>-26.427437310333804</v>
      </c>
      <c r="AE425" s="169">
        <f t="shared" si="263"/>
        <v>-93.367452314064636</v>
      </c>
      <c r="AF425" s="98" t="str">
        <f t="shared" si="249"/>
        <v>-0.0000673063927557778</v>
      </c>
      <c r="AG425" s="98" t="str">
        <f t="shared" si="250"/>
        <v>0.00743229732820882i</v>
      </c>
      <c r="AH425" s="98">
        <f t="shared" si="264"/>
        <v>7.4322973282088204E-3</v>
      </c>
      <c r="AI425" s="98">
        <f t="shared" si="265"/>
        <v>1.5707963267948966</v>
      </c>
      <c r="AJ425" s="98" t="str">
        <f t="shared" si="251"/>
        <v>1+7.4788846203119i</v>
      </c>
      <c r="AK425" s="98">
        <f t="shared" si="266"/>
        <v>7.5454433377991696</v>
      </c>
      <c r="AL425" s="98">
        <f t="shared" si="267"/>
        <v>1.4378749438387715</v>
      </c>
      <c r="AM425" s="98" t="str">
        <f t="shared" si="252"/>
        <v>1+1107.31485819559i</v>
      </c>
      <c r="AN425" s="98">
        <f t="shared" si="268"/>
        <v>1107.3153097382515</v>
      </c>
      <c r="AO425" s="98">
        <f t="shared" si="269"/>
        <v>1.5698932415335147</v>
      </c>
      <c r="AP425" s="168" t="str">
        <f t="shared" si="270"/>
        <v>-0.174941012789603+1.31741958383677i</v>
      </c>
      <c r="AQ425" s="98">
        <f t="shared" si="271"/>
        <v>2.4703956515487788</v>
      </c>
      <c r="AR425" s="169">
        <f t="shared" si="272"/>
        <v>97.564091276410466</v>
      </c>
      <c r="AS425" s="168" t="str">
        <f t="shared" si="273"/>
        <v>0.0632385510408278+0.00464021926094765i</v>
      </c>
      <c r="AT425" s="190">
        <f t="shared" si="274"/>
        <v>-23.95704165878502</v>
      </c>
      <c r="AU425" s="169">
        <f t="shared" si="275"/>
        <v>4.1966389623458165</v>
      </c>
      <c r="AV425" s="225"/>
      <c r="AX425">
        <f t="shared" si="276"/>
        <v>0</v>
      </c>
      <c r="AY425">
        <f t="shared" si="277"/>
        <v>0</v>
      </c>
    </row>
    <row r="426" spans="14:51" x14ac:dyDescent="0.25">
      <c r="N426" s="170">
        <v>8</v>
      </c>
      <c r="O426" s="199">
        <f t="shared" si="278"/>
        <v>120226.44346174144</v>
      </c>
      <c r="P426" s="189" t="str">
        <f t="shared" si="244"/>
        <v>87</v>
      </c>
      <c r="Q426" s="160" t="str">
        <f t="shared" si="245"/>
        <v>1+5665.53767319955i</v>
      </c>
      <c r="R426" s="160">
        <f t="shared" si="253"/>
        <v>5665.5377614524268</v>
      </c>
      <c r="S426" s="160">
        <f t="shared" si="254"/>
        <v>1.570619821042522</v>
      </c>
      <c r="T426" s="160" t="str">
        <f t="shared" si="246"/>
        <v>1+3.77702511546635i</v>
      </c>
      <c r="U426" s="160">
        <f t="shared" si="255"/>
        <v>3.9071624899488882</v>
      </c>
      <c r="V426" s="160">
        <f t="shared" si="256"/>
        <v>1.3119761405705948</v>
      </c>
      <c r="W426" s="98" t="str">
        <f t="shared" si="247"/>
        <v>1-0.535078558024401i</v>
      </c>
      <c r="X426" s="160">
        <f t="shared" si="257"/>
        <v>1.1341556609467116</v>
      </c>
      <c r="Y426" s="160">
        <f t="shared" si="258"/>
        <v>-0.49131508045391159</v>
      </c>
      <c r="Z426" s="98" t="str">
        <f t="shared" si="248"/>
        <v>0.897213171858067+1.12404267436279i</v>
      </c>
      <c r="AA426" s="160">
        <f t="shared" si="259"/>
        <v>1.4382153557601403</v>
      </c>
      <c r="AB426" s="160">
        <f t="shared" si="260"/>
        <v>0.89715265480921613</v>
      </c>
      <c r="AC426" s="171" t="str">
        <f t="shared" si="261"/>
        <v>-0.0036072571976092-0.0471761436320896i</v>
      </c>
      <c r="AD426" s="190">
        <f t="shared" si="262"/>
        <v>-26.500233390711571</v>
      </c>
      <c r="AE426" s="169">
        <f t="shared" si="263"/>
        <v>-94.37253250943651</v>
      </c>
      <c r="AF426" s="98" t="str">
        <f t="shared" si="249"/>
        <v>-0.0000673063927557778</v>
      </c>
      <c r="AG426" s="98" t="str">
        <f t="shared" si="250"/>
        <v>0.00760541777250305i</v>
      </c>
      <c r="AH426" s="98">
        <f t="shared" si="264"/>
        <v>7.60541777250305E-3</v>
      </c>
      <c r="AI426" s="98">
        <f t="shared" si="265"/>
        <v>1.5707963267948966</v>
      </c>
      <c r="AJ426" s="98" t="str">
        <f t="shared" si="251"/>
        <v>1+7.65309022204148i</v>
      </c>
      <c r="AK426" s="98">
        <f t="shared" si="266"/>
        <v>7.7181467948405142</v>
      </c>
      <c r="AL426" s="98">
        <f t="shared" si="267"/>
        <v>1.4408662782515766</v>
      </c>
      <c r="AM426" s="98" t="str">
        <f t="shared" si="252"/>
        <v>1+1133.10753463991i</v>
      </c>
      <c r="AN426" s="98">
        <f t="shared" si="268"/>
        <v>1133.1079759042098</v>
      </c>
      <c r="AO426" s="98">
        <f t="shared" si="269"/>
        <v>1.5699137982529794</v>
      </c>
      <c r="AP426" s="168" t="str">
        <f t="shared" si="270"/>
        <v>-0.16719954529913+1.28844300086073i</v>
      </c>
      <c r="AQ426" s="98">
        <f t="shared" si="271"/>
        <v>2.2738300478322531</v>
      </c>
      <c r="AR426" s="169">
        <f t="shared" si="272"/>
        <v>97.393878252710422</v>
      </c>
      <c r="AS426" s="168" t="str">
        <f t="shared" si="273"/>
        <v>0.0613869038335836+0.00324008447568777i</v>
      </c>
      <c r="AT426" s="190">
        <f t="shared" si="274"/>
        <v>-24.226403342879316</v>
      </c>
      <c r="AU426" s="169">
        <f t="shared" si="275"/>
        <v>3.0213457432739208</v>
      </c>
      <c r="AV426" s="225"/>
      <c r="AX426">
        <f t="shared" si="276"/>
        <v>0</v>
      </c>
      <c r="AY426">
        <f t="shared" si="277"/>
        <v>0</v>
      </c>
    </row>
    <row r="427" spans="14:51" x14ac:dyDescent="0.25">
      <c r="N427" s="170">
        <v>9</v>
      </c>
      <c r="O427" s="199">
        <f t="shared" si="278"/>
        <v>123026.87708123829</v>
      </c>
      <c r="P427" s="189" t="str">
        <f t="shared" si="244"/>
        <v>87</v>
      </c>
      <c r="Q427" s="160" t="str">
        <f t="shared" si="245"/>
        <v>1+5797.5049984877i</v>
      </c>
      <c r="R427" s="160">
        <f t="shared" si="253"/>
        <v>5797.5050847316952</v>
      </c>
      <c r="S427" s="160">
        <f t="shared" si="254"/>
        <v>1.5706238388038827</v>
      </c>
      <c r="T427" s="160" t="str">
        <f t="shared" si="246"/>
        <v>1+3.86500333232513i</v>
      </c>
      <c r="U427" s="160">
        <f t="shared" si="255"/>
        <v>3.992273883250542</v>
      </c>
      <c r="V427" s="160">
        <f t="shared" si="256"/>
        <v>1.3176163555481759</v>
      </c>
      <c r="W427" s="98" t="str">
        <f t="shared" si="247"/>
        <v>1-0.547542138746061i</v>
      </c>
      <c r="X427" s="160">
        <f t="shared" si="257"/>
        <v>1.1400887657119556</v>
      </c>
      <c r="Y427" s="160">
        <f t="shared" si="258"/>
        <v>-0.5009542190549644</v>
      </c>
      <c r="Z427" s="98" t="str">
        <f t="shared" si="248"/>
        <v>0.89236897788898+1.15022499169996i</v>
      </c>
      <c r="AA427" s="160">
        <f t="shared" si="259"/>
        <v>1.455795289259378</v>
      </c>
      <c r="AB427" s="160">
        <f t="shared" si="260"/>
        <v>0.91097338864827604</v>
      </c>
      <c r="AC427" s="171" t="str">
        <f t="shared" si="261"/>
        <v>-0.00441025439017068-0.0467099677481865i</v>
      </c>
      <c r="AD427" s="190">
        <f t="shared" si="262"/>
        <v>-26.573264028621637</v>
      </c>
      <c r="AE427" s="169">
        <f t="shared" si="263"/>
        <v>-95.393753875177481</v>
      </c>
      <c r="AF427" s="98" t="str">
        <f t="shared" si="249"/>
        <v>-0.0000673063927557778</v>
      </c>
      <c r="AG427" s="98" t="str">
        <f t="shared" si="250"/>
        <v>0.00778257070996988i</v>
      </c>
      <c r="AH427" s="98">
        <f t="shared" si="264"/>
        <v>7.7825707099698797E-3</v>
      </c>
      <c r="AI427" s="98">
        <f t="shared" si="265"/>
        <v>1.5707963267948966</v>
      </c>
      <c r="AJ427" s="98" t="str">
        <f t="shared" si="251"/>
        <v>1+7.8313535935074i</v>
      </c>
      <c r="AK427" s="98">
        <f t="shared" si="266"/>
        <v>7.8949413618177857</v>
      </c>
      <c r="AL427" s="98">
        <f t="shared" si="267"/>
        <v>1.4437917828994367</v>
      </c>
      <c r="AM427" s="98" t="str">
        <f t="shared" si="252"/>
        <v>1+1159.50099969754i</v>
      </c>
      <c r="AN427" s="98">
        <f t="shared" si="268"/>
        <v>1159.5014309174417</v>
      </c>
      <c r="AO427" s="98">
        <f t="shared" si="269"/>
        <v>1.5699338870451018</v>
      </c>
      <c r="AP427" s="168" t="str">
        <f t="shared" si="270"/>
        <v>-0.159795057852055+1.26005995019471i</v>
      </c>
      <c r="AQ427" s="98">
        <f t="shared" si="271"/>
        <v>2.0771124083156205</v>
      </c>
      <c r="AR427" s="169">
        <f t="shared" si="272"/>
        <v>97.227410186446292</v>
      </c>
      <c r="AS427" s="168" t="str">
        <f t="shared" si="273"/>
        <v>0.059562096489796+0.00190683707136462i</v>
      </c>
      <c r="AT427" s="190">
        <f t="shared" si="274"/>
        <v>-24.496151620306016</v>
      </c>
      <c r="AU427" s="169">
        <f t="shared" si="275"/>
        <v>1.8336563112688011</v>
      </c>
      <c r="AV427" s="225"/>
      <c r="AX427">
        <f t="shared" si="276"/>
        <v>0</v>
      </c>
      <c r="AY427">
        <f t="shared" si="277"/>
        <v>0</v>
      </c>
    </row>
    <row r="428" spans="14:51" x14ac:dyDescent="0.25">
      <c r="N428" s="170">
        <v>10</v>
      </c>
      <c r="O428" s="199">
        <f t="shared" si="278"/>
        <v>125892.54117941685</v>
      </c>
      <c r="P428" s="189" t="str">
        <f t="shared" si="244"/>
        <v>87</v>
      </c>
      <c r="Q428" s="160" t="str">
        <f t="shared" si="245"/>
        <v>1+5932.54623766511i</v>
      </c>
      <c r="R428" s="160">
        <f t="shared" si="253"/>
        <v>5932.5463219459534</v>
      </c>
      <c r="S428" s="160">
        <f t="shared" si="254"/>
        <v>1.5706277651098346</v>
      </c>
      <c r="T428" s="160" t="str">
        <f t="shared" si="246"/>
        <v>1+3.95503082511006i</v>
      </c>
      <c r="U428" s="160">
        <f t="shared" si="255"/>
        <v>4.0794936974544722</v>
      </c>
      <c r="V428" s="160">
        <f t="shared" si="256"/>
        <v>1.3231441358380736</v>
      </c>
      <c r="W428" s="98" t="str">
        <f t="shared" si="247"/>
        <v>1-0.56029603355726i</v>
      </c>
      <c r="X428" s="160">
        <f t="shared" si="257"/>
        <v>1.146268574645575</v>
      </c>
      <c r="Y428" s="160">
        <f t="shared" si="258"/>
        <v>-0.51071365397902646</v>
      </c>
      <c r="Z428" s="98" t="str">
        <f t="shared" si="248"/>
        <v>0.887296484091653+1.17701717355276i</v>
      </c>
      <c r="AA428" s="160">
        <f t="shared" si="259"/>
        <v>1.4739960914193555</v>
      </c>
      <c r="AB428" s="160">
        <f t="shared" si="260"/>
        <v>0.92483463698475277</v>
      </c>
      <c r="AC428" s="171" t="str">
        <f t="shared" si="261"/>
        <v>-0.00521066161659419-0.0462310020498759i</v>
      </c>
      <c r="AD428" s="190">
        <f t="shared" si="262"/>
        <v>-26.646511289306201</v>
      </c>
      <c r="AE428" s="169">
        <f t="shared" si="263"/>
        <v>-96.430625815295016</v>
      </c>
      <c r="AF428" s="98" t="str">
        <f t="shared" si="249"/>
        <v>-0.0000673063927557778</v>
      </c>
      <c r="AG428" s="98" t="str">
        <f t="shared" si="250"/>
        <v>0.00796385006944163i</v>
      </c>
      <c r="AH428" s="98">
        <f t="shared" si="264"/>
        <v>7.9638500694416293E-3</v>
      </c>
      <c r="AI428" s="98">
        <f t="shared" si="265"/>
        <v>1.5707963267948966</v>
      </c>
      <c r="AJ428" s="98" t="str">
        <f t="shared" si="251"/>
        <v>1+8.01376925230883i</v>
      </c>
      <c r="AK428" s="98">
        <f t="shared" si="266"/>
        <v>8.075920853330004</v>
      </c>
      <c r="AL428" s="98">
        <f t="shared" si="267"/>
        <v>1.4466528085118784</v>
      </c>
      <c r="AM428" s="98" t="str">
        <f t="shared" si="252"/>
        <v>1+1186.50924753302i</v>
      </c>
      <c r="AN428" s="98">
        <f t="shared" si="268"/>
        <v>1186.5096689371619</v>
      </c>
      <c r="AO428" s="98">
        <f t="shared" si="269"/>
        <v>1.5699535185611606</v>
      </c>
      <c r="AP428" s="168" t="str">
        <f t="shared" si="270"/>
        <v>-0.152713367034893+1.23226117434866i</v>
      </c>
      <c r="AQ428" s="98">
        <f t="shared" si="271"/>
        <v>1.8802493559683531</v>
      </c>
      <c r="AR428" s="169">
        <f t="shared" si="272"/>
        <v>97.06461029679015</v>
      </c>
      <c r="AS428" s="168" t="str">
        <f t="shared" si="273"/>
        <v>0.057764406557245+0.000639195981635746i</v>
      </c>
      <c r="AT428" s="190">
        <f t="shared" si="274"/>
        <v>-24.766261933337844</v>
      </c>
      <c r="AU428" s="169">
        <f t="shared" si="275"/>
        <v>0.63398448149514719</v>
      </c>
      <c r="AV428" s="225"/>
      <c r="AX428">
        <f t="shared" si="276"/>
        <v>0</v>
      </c>
      <c r="AY428">
        <f t="shared" si="277"/>
        <v>0</v>
      </c>
    </row>
    <row r="429" spans="14:51" x14ac:dyDescent="0.25">
      <c r="N429" s="170">
        <v>11</v>
      </c>
      <c r="O429" s="199">
        <f t="shared" si="278"/>
        <v>128824.95516931375</v>
      </c>
      <c r="P429" s="189" t="str">
        <f t="shared" si="244"/>
        <v>87</v>
      </c>
      <c r="Q429" s="160" t="str">
        <f t="shared" si="245"/>
        <v>1+6070.73299138427i</v>
      </c>
      <c r="R429" s="160">
        <f t="shared" si="253"/>
        <v>6070.7330737466464</v>
      </c>
      <c r="S429" s="160">
        <f t="shared" si="254"/>
        <v>1.5706316020421569</v>
      </c>
      <c r="T429" s="160" t="str">
        <f t="shared" si="246"/>
        <v>1+4.0471553275895i</v>
      </c>
      <c r="U429" s="160">
        <f t="shared" si="255"/>
        <v>4.1688687009350716</v>
      </c>
      <c r="V429" s="160">
        <f t="shared" si="256"/>
        <v>1.3285610605023364</v>
      </c>
      <c r="W429" s="98" t="str">
        <f t="shared" si="247"/>
        <v>1-0.573347004741848i</v>
      </c>
      <c r="X429" s="160">
        <f t="shared" si="257"/>
        <v>1.1527041198184591</v>
      </c>
      <c r="Y429" s="160">
        <f t="shared" si="258"/>
        <v>-0.52059112265666341</v>
      </c>
      <c r="Z429" s="98" t="str">
        <f t="shared" si="248"/>
        <v>0.881984931026661+1.20443342549064i</v>
      </c>
      <c r="AA429" s="160">
        <f t="shared" si="259"/>
        <v>1.4928353207896781</v>
      </c>
      <c r="AB429" s="160">
        <f t="shared" si="260"/>
        <v>0.938731497931662</v>
      </c>
      <c r="AC429" s="171" t="str">
        <f t="shared" si="261"/>
        <v>-0.00600758197120689-0.0457391550615765i</v>
      </c>
      <c r="AD429" s="190">
        <f t="shared" si="262"/>
        <v>-26.719954490242287</v>
      </c>
      <c r="AE429" s="169">
        <f t="shared" si="263"/>
        <v>-97.482647482360107</v>
      </c>
      <c r="AF429" s="98" t="str">
        <f t="shared" si="249"/>
        <v>-0.0000673063927557778</v>
      </c>
      <c r="AG429" s="98" t="str">
        <f t="shared" si="250"/>
        <v>0.00814935196763423i</v>
      </c>
      <c r="AH429" s="98">
        <f t="shared" si="264"/>
        <v>8.1493519676342305E-3</v>
      </c>
      <c r="AI429" s="98">
        <f t="shared" si="265"/>
        <v>1.5707963267948966</v>
      </c>
      <c r="AJ429" s="98" t="str">
        <f t="shared" si="251"/>
        <v>1+8.20043391764262i</v>
      </c>
      <c r="AK429" s="98">
        <f t="shared" si="266"/>
        <v>8.2611812979514898</v>
      </c>
      <c r="AL429" s="98">
        <f t="shared" si="267"/>
        <v>1.4494506845919342</v>
      </c>
      <c r="AM429" s="98" t="str">
        <f t="shared" si="252"/>
        <v>1+1214.14659827685i</v>
      </c>
      <c r="AN429" s="98">
        <f t="shared" si="268"/>
        <v>1214.1470100886656</v>
      </c>
      <c r="AO429" s="98">
        <f t="shared" si="269"/>
        <v>1.5699727032099846</v>
      </c>
      <c r="AP429" s="168" t="str">
        <f t="shared" si="270"/>
        <v>-0.145940844281052+1.20503735921864i</v>
      </c>
      <c r="AQ429" s="98">
        <f t="shared" si="271"/>
        <v>1.6832472345690821</v>
      </c>
      <c r="AR429" s="169">
        <f t="shared" si="272"/>
        <v>96.90540300521144</v>
      </c>
      <c r="AS429" s="168" t="str">
        <f t="shared" si="273"/>
        <v>0.0559941422132596-0.000564149807484236i</v>
      </c>
      <c r="AT429" s="190">
        <f t="shared" si="274"/>
        <v>-25.036707255673207</v>
      </c>
      <c r="AU429" s="169">
        <f t="shared" si="275"/>
        <v>-0.57724447714868288</v>
      </c>
      <c r="AV429" s="225"/>
      <c r="AX429">
        <f t="shared" si="276"/>
        <v>0</v>
      </c>
      <c r="AY429">
        <f t="shared" si="277"/>
        <v>0</v>
      </c>
    </row>
    <row r="430" spans="14:51" x14ac:dyDescent="0.25">
      <c r="N430" s="170">
        <v>12</v>
      </c>
      <c r="O430" s="199">
        <f t="shared" si="278"/>
        <v>131825.67385564081</v>
      </c>
      <c r="P430" s="189" t="str">
        <f t="shared" si="244"/>
        <v>87</v>
      </c>
      <c r="Q430" s="160" t="str">
        <f t="shared" si="245"/>
        <v>1+6212.13852809109i</v>
      </c>
      <c r="R430" s="160">
        <f t="shared" si="253"/>
        <v>6212.1386085786698</v>
      </c>
      <c r="S430" s="160">
        <f t="shared" si="254"/>
        <v>1.5706353516352409</v>
      </c>
      <c r="T430" s="160" t="str">
        <f t="shared" si="246"/>
        <v>1+4.14142568539405i</v>
      </c>
      <c r="U430" s="160">
        <f t="shared" si="255"/>
        <v>4.2604467732435731</v>
      </c>
      <c r="V430" s="160">
        <f t="shared" si="256"/>
        <v>1.333868729528576</v>
      </c>
      <c r="W430" s="98" t="str">
        <f t="shared" si="247"/>
        <v>1-0.586701972097492i</v>
      </c>
      <c r="X430" s="160">
        <f t="shared" si="257"/>
        <v>1.1594046765746144</v>
      </c>
      <c r="Y430" s="160">
        <f t="shared" si="258"/>
        <v>-0.53058415207220133</v>
      </c>
      <c r="Z430" s="98" t="str">
        <f t="shared" si="248"/>
        <v>0.876423052177822+1.23248828397327i</v>
      </c>
      <c r="AA430" s="160">
        <f t="shared" si="259"/>
        <v>1.5123308951813639</v>
      </c>
      <c r="AB430" s="160">
        <f t="shared" si="260"/>
        <v>0.95265913901878618</v>
      </c>
      <c r="AC430" s="171" t="str">
        <f t="shared" si="261"/>
        <v>-0.00680012790427036-0.045234387888396i</v>
      </c>
      <c r="AD430" s="190">
        <f t="shared" si="262"/>
        <v>-26.793570348024474</v>
      </c>
      <c r="AE430" s="169">
        <f t="shared" si="263"/>
        <v>-98.549308746888528</v>
      </c>
      <c r="AF430" s="98" t="str">
        <f t="shared" si="249"/>
        <v>-0.0000673063927557778</v>
      </c>
      <c r="AG430" s="98" t="str">
        <f t="shared" si="250"/>
        <v>0.00833917476010946i</v>
      </c>
      <c r="AH430" s="98">
        <f t="shared" si="264"/>
        <v>8.3391747601094593E-3</v>
      </c>
      <c r="AI430" s="98">
        <f t="shared" si="265"/>
        <v>1.5707963267948966</v>
      </c>
      <c r="AJ430" s="98" t="str">
        <f t="shared" si="251"/>
        <v>1+8.39144656158508i</v>
      </c>
      <c r="AK430" s="98">
        <f t="shared" si="266"/>
        <v>8.4508209894623896</v>
      </c>
      <c r="AL430" s="98">
        <f t="shared" si="267"/>
        <v>1.4521867193000706</v>
      </c>
      <c r="AM430" s="98" t="str">
        <f t="shared" si="252"/>
        <v>1+1242.42770561821i</v>
      </c>
      <c r="AN430" s="98">
        <f t="shared" si="268"/>
        <v>1242.4281080560474</v>
      </c>
      <c r="AO430" s="98">
        <f t="shared" si="269"/>
        <v>1.5699914511634725</v>
      </c>
      <c r="AP430" s="168" t="str">
        <f t="shared" si="270"/>
        <v>-0.139464397870023+1.17837915148521i</v>
      </c>
      <c r="AQ430" s="98">
        <f t="shared" si="271"/>
        <v>1.4861121196657017</v>
      </c>
      <c r="AR430" s="169">
        <f t="shared" si="272"/>
        <v>96.749713942443208</v>
      </c>
      <c r="AS430" s="168" t="str">
        <f t="shared" si="273"/>
        <v>0.0542516353614891-0.0017045422799508i</v>
      </c>
      <c r="AT430" s="190">
        <f t="shared" si="274"/>
        <v>-25.307458228358783</v>
      </c>
      <c r="AU430" s="169">
        <f t="shared" si="275"/>
        <v>-1.7995948044453167</v>
      </c>
      <c r="AV430" s="225"/>
      <c r="AX430">
        <f t="shared" si="276"/>
        <v>0</v>
      </c>
      <c r="AY430">
        <f t="shared" si="277"/>
        <v>0</v>
      </c>
    </row>
    <row r="431" spans="14:51" x14ac:dyDescent="0.25">
      <c r="N431" s="170">
        <v>13</v>
      </c>
      <c r="O431" s="199">
        <f t="shared" si="278"/>
        <v>134896.28825916545</v>
      </c>
      <c r="P431" s="189" t="str">
        <f t="shared" si="244"/>
        <v>87</v>
      </c>
      <c r="Q431" s="160" t="str">
        <f t="shared" si="245"/>
        <v>1+6356.83782287289i</v>
      </c>
      <c r="R431" s="160">
        <f t="shared" si="253"/>
        <v>6356.837901528349</v>
      </c>
      <c r="S431" s="160">
        <f t="shared" si="254"/>
        <v>1.5706390158771706</v>
      </c>
      <c r="T431" s="160" t="str">
        <f t="shared" si="246"/>
        <v>1+4.23789188191525i</v>
      </c>
      <c r="U431" s="160">
        <f t="shared" si="255"/>
        <v>4.3542769322590376</v>
      </c>
      <c r="V431" s="160">
        <f t="shared" si="256"/>
        <v>1.3390687604009386</v>
      </c>
      <c r="W431" s="98" t="str">
        <f t="shared" si="247"/>
        <v>1-0.600368016604662i</v>
      </c>
      <c r="X431" s="160">
        <f t="shared" si="257"/>
        <v>1.166379764640066</v>
      </c>
      <c r="Y431" s="160">
        <f t="shared" si="258"/>
        <v>-0.54069005678095861</v>
      </c>
      <c r="Z431" s="98" t="str">
        <f t="shared" si="248"/>
        <v>0.870599050054401+1.26119662405798i</v>
      </c>
      <c r="AA431" s="160">
        <f t="shared" si="259"/>
        <v>1.5325011029330031</v>
      </c>
      <c r="AB431" s="160">
        <f t="shared" si="260"/>
        <v>0.96661281282551748</v>
      </c>
      <c r="AC431" s="171" t="str">
        <f t="shared" si="261"/>
        <v>-0.00758742464993804-0.044716713049215i</v>
      </c>
      <c r="AD431" s="190">
        <f t="shared" si="262"/>
        <v>-26.867333139860108</v>
      </c>
      <c r="AE431" s="169">
        <f t="shared" si="263"/>
        <v>-99.630091175963287</v>
      </c>
      <c r="AF431" s="98" t="str">
        <f t="shared" si="249"/>
        <v>-0.0000673063927557778</v>
      </c>
      <c r="AG431" s="98" t="str">
        <f t="shared" si="250"/>
        <v>0.00853341909342455i</v>
      </c>
      <c r="AH431" s="98">
        <f t="shared" si="264"/>
        <v>8.5334190934245498E-3</v>
      </c>
      <c r="AI431" s="98">
        <f t="shared" si="265"/>
        <v>1.5707963267948966</v>
      </c>
      <c r="AJ431" s="98" t="str">
        <f t="shared" si="251"/>
        <v>1+8.58690846156844i</v>
      </c>
      <c r="AK431" s="98">
        <f t="shared" si="266"/>
        <v>8.6449405392608494</v>
      </c>
      <c r="AL431" s="98">
        <f t="shared" si="267"/>
        <v>1.4548621993769615</v>
      </c>
      <c r="AM431" s="98" t="str">
        <f t="shared" si="252"/>
        <v>1+1271.36756457457i</v>
      </c>
      <c r="AN431" s="98">
        <f t="shared" si="268"/>
        <v>1271.3679578518068</v>
      </c>
      <c r="AO431" s="98">
        <f t="shared" si="269"/>
        <v>1.5700097723619841</v>
      </c>
      <c r="AP431" s="168" t="str">
        <f t="shared" si="270"/>
        <v>-0.133271455170266+1.15227717471982i</v>
      </c>
      <c r="AQ431" s="98">
        <f t="shared" si="271"/>
        <v>1.2888498291752148</v>
      </c>
      <c r="AR431" s="169">
        <f t="shared" si="272"/>
        <v>96.597469953216418</v>
      </c>
      <c r="AS431" s="168" t="str">
        <f t="shared" si="273"/>
        <v>0.0525372348991984-0.00278335482053002i</v>
      </c>
      <c r="AT431" s="190">
        <f t="shared" si="274"/>
        <v>-25.578483310684884</v>
      </c>
      <c r="AU431" s="169">
        <f t="shared" si="275"/>
        <v>-3.0326212227468621</v>
      </c>
      <c r="AV431" s="225"/>
      <c r="AX431">
        <f t="shared" si="276"/>
        <v>0</v>
      </c>
      <c r="AY431">
        <f t="shared" si="277"/>
        <v>0</v>
      </c>
    </row>
    <row r="432" spans="14:51" x14ac:dyDescent="0.25">
      <c r="N432" s="170">
        <v>14</v>
      </c>
      <c r="O432" s="199">
        <f t="shared" si="278"/>
        <v>138038.42646028858</v>
      </c>
      <c r="P432" s="189" t="str">
        <f t="shared" si="244"/>
        <v>87</v>
      </c>
      <c r="Q432" s="160" t="str">
        <f t="shared" si="245"/>
        <v>1+6504.90759721108i</v>
      </c>
      <c r="R432" s="160">
        <f t="shared" si="253"/>
        <v>6504.9076740761229</v>
      </c>
      <c r="S432" s="160">
        <f t="shared" si="254"/>
        <v>1.5706425967107751</v>
      </c>
      <c r="T432" s="160" t="str">
        <f t="shared" si="246"/>
        <v>1+4.33660506480738i</v>
      </c>
      <c r="U432" s="160">
        <f t="shared" si="255"/>
        <v>4.4504093618579654</v>
      </c>
      <c r="V432" s="160">
        <f t="shared" si="256"/>
        <v>1.3441627848665463</v>
      </c>
      <c r="W432" s="98" t="str">
        <f t="shared" si="247"/>
        <v>1-0.614352384181046i</v>
      </c>
      <c r="X432" s="160">
        <f t="shared" si="257"/>
        <v>1.1736391489503644</v>
      </c>
      <c r="Y432" s="160">
        <f t="shared" si="258"/>
        <v>-0.55090593766899643</v>
      </c>
      <c r="Z432" s="98" t="str">
        <f t="shared" si="248"/>
        <v>0.864500571167057+1.29057366728667i</v>
      </c>
      <c r="AA432" s="160">
        <f t="shared" si="259"/>
        <v>1.5533646153565916</v>
      </c>
      <c r="AB432" s="160">
        <f t="shared" si="260"/>
        <v>0.9805878721852942</v>
      </c>
      <c r="AC432" s="171" t="str">
        <f t="shared" si="261"/>
        <v>-0.00836861352485851-0.0441861930223012i</v>
      </c>
      <c r="AD432" s="190">
        <f t="shared" si="262"/>
        <v>-26.941214878867193</v>
      </c>
      <c r="AE432" s="169">
        <f t="shared" si="263"/>
        <v>-100.72446901865317</v>
      </c>
      <c r="AF432" s="98" t="str">
        <f t="shared" si="249"/>
        <v>-0.0000673063927557778</v>
      </c>
      <c r="AG432" s="98" t="str">
        <f t="shared" si="250"/>
        <v>0.00873218795849613i</v>
      </c>
      <c r="AH432" s="98">
        <f t="shared" si="264"/>
        <v>8.7321879584961303E-3</v>
      </c>
      <c r="AI432" s="98">
        <f t="shared" si="265"/>
        <v>1.5707963267948966</v>
      </c>
      <c r="AJ432" s="98" t="str">
        <f t="shared" si="251"/>
        <v>1+8.7869232540793i</v>
      </c>
      <c r="AK432" s="98">
        <f t="shared" si="266"/>
        <v>8.8436429299853323</v>
      </c>
      <c r="AL432" s="98">
        <f t="shared" si="267"/>
        <v>1.457478390102189</v>
      </c>
      <c r="AM432" s="98" t="str">
        <f t="shared" si="252"/>
        <v>1+1300.98151944221i</v>
      </c>
      <c r="AN432" s="98">
        <f t="shared" si="268"/>
        <v>1300.9819037673665</v>
      </c>
      <c r="AO432" s="98">
        <f t="shared" si="269"/>
        <v>1.5700276765196124</v>
      </c>
      <c r="AP432" s="168" t="str">
        <f t="shared" si="270"/>
        <v>-0.127349945158912+1.12672204427061i</v>
      </c>
      <c r="AQ432" s="98">
        <f t="shared" si="271"/>
        <v>1.0914659336315589</v>
      </c>
      <c r="AR432" s="169">
        <f t="shared" si="272"/>
        <v>96.448599098927446</v>
      </c>
      <c r="AS432" s="168" t="str">
        <f t="shared" si="273"/>
        <v>0.0508513002040698-0.0038019920802681i</v>
      </c>
      <c r="AT432" s="190">
        <f t="shared" si="274"/>
        <v>-25.849748945235646</v>
      </c>
      <c r="AU432" s="169">
        <f t="shared" si="275"/>
        <v>-4.2758699197257277</v>
      </c>
      <c r="AV432" s="225"/>
      <c r="AX432">
        <f t="shared" si="276"/>
        <v>0</v>
      </c>
      <c r="AY432">
        <f t="shared" si="277"/>
        <v>0</v>
      </c>
    </row>
    <row r="433" spans="14:51" x14ac:dyDescent="0.25">
      <c r="N433" s="170">
        <v>15</v>
      </c>
      <c r="O433" s="199">
        <f t="shared" si="278"/>
        <v>141253.75446227577</v>
      </c>
      <c r="P433" s="189" t="str">
        <f t="shared" si="244"/>
        <v>87</v>
      </c>
      <c r="Q433" s="160" t="str">
        <f t="shared" si="245"/>
        <v>1+6656.42635965995i</v>
      </c>
      <c r="R433" s="160">
        <f t="shared" si="253"/>
        <v>6656.4264347753306</v>
      </c>
      <c r="S433" s="160">
        <f t="shared" si="254"/>
        <v>1.5706460960346591</v>
      </c>
      <c r="T433" s="160" t="str">
        <f t="shared" si="246"/>
        <v>1+4.43761757310662i</v>
      </c>
      <c r="U433" s="160">
        <f t="shared" si="255"/>
        <v>4.5488954401200177</v>
      </c>
      <c r="V433" s="160">
        <f t="shared" si="256"/>
        <v>1.3491524458921826</v>
      </c>
      <c r="W433" s="98" t="str">
        <f t="shared" si="247"/>
        <v>1-0.628662489523439i</v>
      </c>
      <c r="X433" s="160">
        <f t="shared" si="257"/>
        <v>1.1811928401974878</v>
      </c>
      <c r="Y433" s="160">
        <f t="shared" si="258"/>
        <v>-0.56122868150402039</v>
      </c>
      <c r="Z433" s="98" t="str">
        <f t="shared" si="248"/>
        <v>0.858114679824434+1.32063498975653i</v>
      </c>
      <c r="AA433" s="160">
        <f t="shared" si="259"/>
        <v>1.5749405004314991</v>
      </c>
      <c r="AB433" s="160">
        <f t="shared" si="260"/>
        <v>0.99457978486765064</v>
      </c>
      <c r="AC433" s="171" t="str">
        <f t="shared" si="261"/>
        <v>-0.00914285506931779-0.0436429385200434i</v>
      </c>
      <c r="AD433" s="190">
        <f t="shared" si="262"/>
        <v>-27.015185502239326</v>
      </c>
      <c r="AE433" s="169">
        <f t="shared" si="263"/>
        <v>-101.83191019592913</v>
      </c>
      <c r="AF433" s="98" t="str">
        <f t="shared" si="249"/>
        <v>-0.0000673063927557778</v>
      </c>
      <c r="AG433" s="98" t="str">
        <f t="shared" si="250"/>
        <v>0.00893558674520749i</v>
      </c>
      <c r="AH433" s="98">
        <f t="shared" si="264"/>
        <v>8.93558674520749E-3</v>
      </c>
      <c r="AI433" s="98">
        <f t="shared" si="265"/>
        <v>1.5707963267948966</v>
      </c>
      <c r="AJ433" s="98" t="str">
        <f t="shared" si="251"/>
        <v>1+8.99159698960817i</v>
      </c>
      <c r="AK433" s="98">
        <f t="shared" si="266"/>
        <v>9.0470335703771294</v>
      </c>
      <c r="AL433" s="98">
        <f t="shared" si="267"/>
        <v>1.4600365352861391</v>
      </c>
      <c r="AM433" s="98" t="str">
        <f t="shared" si="252"/>
        <v>1+1331.28527193199i</v>
      </c>
      <c r="AN433" s="98">
        <f t="shared" si="268"/>
        <v>1331.2856475088406</v>
      </c>
      <c r="AO433" s="98">
        <f t="shared" si="269"/>
        <v>1.5700451731293328</v>
      </c>
      <c r="AP433" s="168" t="str">
        <f t="shared" si="270"/>
        <v>-0.121688281246676+1.10170438099552i</v>
      </c>
      <c r="AQ433" s="98">
        <f t="shared" si="271"/>
        <v>0.89396576608367317</v>
      </c>
      <c r="AR433" s="169">
        <f t="shared" si="272"/>
        <v>96.3030306583982</v>
      </c>
      <c r="AS433" s="168" t="str">
        <f t="shared" si="273"/>
        <v>0.0491941948861227-0.00476188930761608i</v>
      </c>
      <c r="AT433" s="190">
        <f t="shared" si="274"/>
        <v>-26.121219736155652</v>
      </c>
      <c r="AU433" s="169">
        <f t="shared" si="275"/>
        <v>-5.5288795375309281</v>
      </c>
      <c r="AV433" s="225"/>
      <c r="AX433">
        <f t="shared" si="276"/>
        <v>0</v>
      </c>
      <c r="AY433">
        <f t="shared" si="277"/>
        <v>0</v>
      </c>
    </row>
    <row r="434" spans="14:51" x14ac:dyDescent="0.25">
      <c r="N434" s="170">
        <v>16</v>
      </c>
      <c r="O434" s="199">
        <f t="shared" si="278"/>
        <v>144543.97707459307</v>
      </c>
      <c r="P434" s="189" t="str">
        <f t="shared" si="244"/>
        <v>87</v>
      </c>
      <c r="Q434" s="160" t="str">
        <f t="shared" si="245"/>
        <v>1+6811.47444747291i</v>
      </c>
      <c r="R434" s="160">
        <f t="shared" si="253"/>
        <v>6811.4745208784561</v>
      </c>
      <c r="S434" s="160">
        <f t="shared" si="254"/>
        <v>1.5706495157042104</v>
      </c>
      <c r="T434" s="160" t="str">
        <f t="shared" si="246"/>
        <v>1+4.54098296498193i</v>
      </c>
      <c r="U434" s="160">
        <f t="shared" si="255"/>
        <v>4.6497877680874948</v>
      </c>
      <c r="V434" s="160">
        <f t="shared" si="256"/>
        <v>1.3540393948056022</v>
      </c>
      <c r="W434" s="98" t="str">
        <f t="shared" si="247"/>
        <v>1-0.643305920039108i</v>
      </c>
      <c r="X434" s="160">
        <f t="shared" si="257"/>
        <v>1.1890510950995181</v>
      </c>
      <c r="Y434" s="160">
        <f t="shared" si="258"/>
        <v>-0.57165496132252724</v>
      </c>
      <c r="Z434" s="98" t="str">
        <f t="shared" si="248"/>
        <v>0.851427830694823+1.35139653037862i</v>
      </c>
      <c r="AA434" s="160">
        <f t="shared" si="259"/>
        <v>1.5972482378143558</v>
      </c>
      <c r="AB434" s="160">
        <f t="shared" si="260"/>
        <v>1.0085841476493953</v>
      </c>
      <c r="AC434" s="171" t="str">
        <f t="shared" si="261"/>
        <v>-0.00990933200513732-0.0430871065124107i</v>
      </c>
      <c r="AD434" s="190">
        <f t="shared" si="262"/>
        <v>-27.089213071220151</v>
      </c>
      <c r="AE434" s="169">
        <f t="shared" si="263"/>
        <v>-102.95187729291365</v>
      </c>
      <c r="AF434" s="98" t="str">
        <f t="shared" si="249"/>
        <v>-0.0000673063927557778</v>
      </c>
      <c r="AG434" s="98" t="str">
        <f t="shared" si="250"/>
        <v>0.00914372329828761i</v>
      </c>
      <c r="AH434" s="98">
        <f t="shared" si="264"/>
        <v>9.1437232982876093E-3</v>
      </c>
      <c r="AI434" s="98">
        <f t="shared" si="265"/>
        <v>1.5707963267948966</v>
      </c>
      <c r="AJ434" s="98" t="str">
        <f t="shared" si="251"/>
        <v>1+9.20103818887876i</v>
      </c>
      <c r="AK434" s="98">
        <f t="shared" si="266"/>
        <v>9.2552203514127829</v>
      </c>
      <c r="AL434" s="98">
        <f t="shared" si="267"/>
        <v>1.4625378572924921</v>
      </c>
      <c r="AM434" s="98" t="str">
        <f t="shared" si="252"/>
        <v>1+1362.29488949458i</v>
      </c>
      <c r="AN434" s="98">
        <f t="shared" si="268"/>
        <v>1362.2952565222602</v>
      </c>
      <c r="AO434" s="98">
        <f t="shared" si="269"/>
        <v>1.5700622714680366</v>
      </c>
      <c r="AP434" s="168" t="str">
        <f t="shared" si="270"/>
        <v>-0.11627534443216+1.07721482390889i</v>
      </c>
      <c r="AQ434" s="98">
        <f t="shared" si="271"/>
        <v>0.6963544316533149</v>
      </c>
      <c r="AR434" s="169">
        <f t="shared" si="272"/>
        <v>96.160695126875325</v>
      </c>
      <c r="AS434" s="168" t="str">
        <f t="shared" si="273"/>
        <v>0.0475662808465-0.00566451118065301i</v>
      </c>
      <c r="AT434" s="190">
        <f t="shared" si="274"/>
        <v>-26.392858639566846</v>
      </c>
      <c r="AU434" s="169">
        <f t="shared" si="275"/>
        <v>-6.7911821660383369</v>
      </c>
      <c r="AV434" s="225"/>
      <c r="AX434">
        <f t="shared" si="276"/>
        <v>0</v>
      </c>
      <c r="AY434">
        <f t="shared" si="277"/>
        <v>0</v>
      </c>
    </row>
    <row r="435" spans="14:51" x14ac:dyDescent="0.25">
      <c r="N435" s="170">
        <v>17</v>
      </c>
      <c r="O435" s="199">
        <f t="shared" si="278"/>
        <v>147910.83881682079</v>
      </c>
      <c r="P435" s="189" t="str">
        <f t="shared" si="244"/>
        <v>87</v>
      </c>
      <c r="Q435" s="160" t="str">
        <f t="shared" si="245"/>
        <v>1+6970.13406919844i</v>
      </c>
      <c r="R435" s="160">
        <f t="shared" si="253"/>
        <v>6970.1341409330698</v>
      </c>
      <c r="S435" s="160">
        <f t="shared" si="254"/>
        <v>1.5706528575325824</v>
      </c>
      <c r="T435" s="160" t="str">
        <f t="shared" si="246"/>
        <v>1+4.64675604613228i</v>
      </c>
      <c r="U435" s="160">
        <f t="shared" si="255"/>
        <v>4.7531401990964772</v>
      </c>
      <c r="V435" s="160">
        <f t="shared" si="256"/>
        <v>1.3588252886155254</v>
      </c>
      <c r="W435" s="98" t="str">
        <f t="shared" si="247"/>
        <v>1-0.658290439868741i</v>
      </c>
      <c r="X435" s="160">
        <f t="shared" si="257"/>
        <v>1.1972244163992734</v>
      </c>
      <c r="Y435" s="160">
        <f t="shared" si="258"/>
        <v>-0.58218123769409746</v>
      </c>
      <c r="Z435" s="98" t="str">
        <f t="shared" si="248"/>
        <v>0.844425840074698+1.38287459932897i</v>
      </c>
      <c r="AA435" s="160">
        <f t="shared" si="259"/>
        <v>1.6203077352327608</v>
      </c>
      <c r="AB435" s="160">
        <f t="shared" si="260"/>
        <v>1.0225966996931815</v>
      </c>
      <c r="AC435" s="171" t="str">
        <f t="shared" si="261"/>
        <v>-0.010667251987232-0.0425188980213791i</v>
      </c>
      <c r="AD435" s="190">
        <f t="shared" si="262"/>
        <v>-27.163263981720419</v>
      </c>
      <c r="AE435" s="169">
        <f t="shared" si="263"/>
        <v>-104.08382855146455</v>
      </c>
      <c r="AF435" s="98" t="str">
        <f t="shared" si="249"/>
        <v>-0.0000673063927557778</v>
      </c>
      <c r="AG435" s="98" t="str">
        <f t="shared" si="250"/>
        <v>0.00935670797449196i</v>
      </c>
      <c r="AH435" s="98">
        <f t="shared" si="264"/>
        <v>9.3567079744919599E-3</v>
      </c>
      <c r="AI435" s="98">
        <f t="shared" si="265"/>
        <v>1.5707963267948966</v>
      </c>
      <c r="AJ435" s="98" t="str">
        <f t="shared" si="251"/>
        <v>1+9.41535790038722i</v>
      </c>
      <c r="AK435" s="98">
        <f t="shared" si="266"/>
        <v>9.468313703737536</v>
      </c>
      <c r="AL435" s="98">
        <f t="shared" si="267"/>
        <v>1.4649835570888721</v>
      </c>
      <c r="AM435" s="98" t="str">
        <f t="shared" si="252"/>
        <v>1+1394.02681383968i</v>
      </c>
      <c r="AN435" s="98">
        <f t="shared" si="268"/>
        <v>1394.027172512792</v>
      </c>
      <c r="AO435" s="98">
        <f t="shared" si="269"/>
        <v>1.5700789806014492</v>
      </c>
      <c r="AP435" s="168" t="str">
        <f t="shared" si="270"/>
        <v>-0.111100466805841+1.05324404180434i</v>
      </c>
      <c r="AQ435" s="98">
        <f t="shared" si="271"/>
        <v>0.4986368167572019</v>
      </c>
      <c r="AR435" s="169">
        <f t="shared" si="272"/>
        <v>96.021524213410643</v>
      </c>
      <c r="AS435" s="168" t="str">
        <f t="shared" si="273"/>
        <v>0.0459679126804209-0.00651135017973244i</v>
      </c>
      <c r="AT435" s="190">
        <f t="shared" si="274"/>
        <v>-26.664627164963214</v>
      </c>
      <c r="AU435" s="169">
        <f t="shared" si="275"/>
        <v>-8.0623043380538828</v>
      </c>
      <c r="AV435" s="225"/>
      <c r="AX435">
        <f t="shared" si="276"/>
        <v>0</v>
      </c>
      <c r="AY435">
        <f t="shared" si="277"/>
        <v>0</v>
      </c>
    </row>
    <row r="436" spans="14:51" x14ac:dyDescent="0.25">
      <c r="N436" s="170">
        <v>18</v>
      </c>
      <c r="O436" s="199">
        <f t="shared" si="278"/>
        <v>151356.12484362084</v>
      </c>
      <c r="P436" s="189" t="str">
        <f t="shared" si="244"/>
        <v>87</v>
      </c>
      <c r="Q436" s="160" t="str">
        <f t="shared" si="245"/>
        <v>1+7132.4893482681i</v>
      </c>
      <c r="R436" s="160">
        <f t="shared" si="253"/>
        <v>7132.4894183698525</v>
      </c>
      <c r="S436" s="160">
        <f t="shared" si="254"/>
        <v>1.5706561232916569</v>
      </c>
      <c r="T436" s="160" t="str">
        <f t="shared" si="246"/>
        <v>1+4.75499289884539i</v>
      </c>
      <c r="U436" s="160">
        <f t="shared" si="255"/>
        <v>4.8590078686981029</v>
      </c>
      <c r="V436" s="160">
        <f t="shared" si="256"/>
        <v>1.3635117875041582</v>
      </c>
      <c r="W436" s="98" t="str">
        <f t="shared" si="247"/>
        <v>1-0.673623994003098i</v>
      </c>
      <c r="X436" s="160">
        <f t="shared" si="257"/>
        <v>1.2057235526009624</v>
      </c>
      <c r="Y436" s="160">
        <f t="shared" si="258"/>
        <v>-0.59280376089872411</v>
      </c>
      <c r="Z436" s="98" t="str">
        <f t="shared" si="248"/>
        <v>0.83709385580318+1.41508588669639i</v>
      </c>
      <c r="AA436" s="160">
        <f t="shared" si="259"/>
        <v>1.6441393463300924</v>
      </c>
      <c r="AB436" s="160">
        <f t="shared" si="260"/>
        <v>1.0366133351588664</v>
      </c>
      <c r="AC436" s="171" t="str">
        <f t="shared" si="261"/>
        <v>-0.0114158501286862-0.0419385557108366i</v>
      </c>
      <c r="AD436" s="190">
        <f t="shared" si="262"/>
        <v>-27.237303184306256</v>
      </c>
      <c r="AE436" s="169">
        <f t="shared" si="263"/>
        <v>-105.22721886122696</v>
      </c>
      <c r="AF436" s="98" t="str">
        <f t="shared" si="249"/>
        <v>-0.0000673063927557778</v>
      </c>
      <c r="AG436" s="98" t="str">
        <f t="shared" si="250"/>
        <v>0.00957465370111507i</v>
      </c>
      <c r="AH436" s="98">
        <f t="shared" si="264"/>
        <v>9.5746537011150695E-3</v>
      </c>
      <c r="AI436" s="98">
        <f t="shared" si="265"/>
        <v>1.5707963267948966</v>
      </c>
      <c r="AJ436" s="98" t="str">
        <f t="shared" si="251"/>
        <v>1+9.63466975928148i</v>
      </c>
      <c r="AK436" s="98">
        <f t="shared" si="266"/>
        <v>9.6864266564307933</v>
      </c>
      <c r="AL436" s="98">
        <f t="shared" si="267"/>
        <v>1.4673748143233536</v>
      </c>
      <c r="AM436" s="98" t="str">
        <f t="shared" si="252"/>
        <v>1+1426.49786965362i</v>
      </c>
      <c r="AN436" s="98">
        <f t="shared" si="268"/>
        <v>1426.4982201623375</v>
      </c>
      <c r="AO436" s="98">
        <f t="shared" si="269"/>
        <v>1.5700953093889369</v>
      </c>
      <c r="AP436" s="168" t="str">
        <f t="shared" si="270"/>
        <v>-0.106153415420489+1.02978274391458i</v>
      </c>
      <c r="AQ436" s="98">
        <f t="shared" si="271"/>
        <v>0.30081759800250146</v>
      </c>
      <c r="AR436" s="169">
        <f t="shared" si="272"/>
        <v>95.885450836752284</v>
      </c>
      <c r="AS436" s="168" t="str">
        <f t="shared" si="273"/>
        <v>0.0443994324568083-0.00730392454312833i</v>
      </c>
      <c r="AT436" s="190">
        <f t="shared" si="274"/>
        <v>-26.936485586303746</v>
      </c>
      <c r="AU436" s="169">
        <f t="shared" si="275"/>
        <v>-9.3417680244746695</v>
      </c>
      <c r="AV436" s="225"/>
      <c r="AX436">
        <f t="shared" si="276"/>
        <v>0</v>
      </c>
      <c r="AY436">
        <f t="shared" si="277"/>
        <v>0</v>
      </c>
    </row>
    <row r="437" spans="14:51" x14ac:dyDescent="0.25">
      <c r="N437" s="170">
        <v>19</v>
      </c>
      <c r="O437" s="199">
        <f t="shared" si="278"/>
        <v>154881.66189124843</v>
      </c>
      <c r="P437" s="189" t="str">
        <f t="shared" si="244"/>
        <v>87</v>
      </c>
      <c r="Q437" s="160" t="str">
        <f t="shared" si="245"/>
        <v>1+7298.62636759989i</v>
      </c>
      <c r="R437" s="160">
        <f t="shared" si="253"/>
        <v>7298.6264361059311</v>
      </c>
      <c r="S437" s="160">
        <f t="shared" si="254"/>
        <v>1.5706593147129819</v>
      </c>
      <c r="T437" s="160" t="str">
        <f t="shared" si="246"/>
        <v>1+4.86575091173324i</v>
      </c>
      <c r="U437" s="160">
        <f t="shared" si="255"/>
        <v>4.9674472251884927</v>
      </c>
      <c r="V437" s="160">
        <f t="shared" si="256"/>
        <v>1.3681005524858814</v>
      </c>
      <c r="W437" s="98" t="str">
        <f t="shared" si="247"/>
        <v>1-0.689314712495544i</v>
      </c>
      <c r="X437" s="160">
        <f t="shared" si="257"/>
        <v>1.2145594974569234</v>
      </c>
      <c r="Y437" s="160">
        <f t="shared" si="258"/>
        <v>-0.60351857404734399</v>
      </c>
      <c r="Z437" s="98" t="str">
        <f t="shared" si="248"/>
        <v>0.829416325758613+1.44804747133181i</v>
      </c>
      <c r="AA437" s="160">
        <f t="shared" si="259"/>
        <v>1.6687638900291939</v>
      </c>
      <c r="AB437" s="160">
        <f t="shared" si="260"/>
        <v>1.05063011498123</v>
      </c>
      <c r="AC437" s="171" t="str">
        <f t="shared" si="261"/>
        <v>-0.0121543912823978-0.041346361298283i</v>
      </c>
      <c r="AD437" s="190">
        <f t="shared" si="262"/>
        <v>-27.311294412200773</v>
      </c>
      <c r="AE437" s="169">
        <f t="shared" si="263"/>
        <v>-106.3815007474421</v>
      </c>
      <c r="AF437" s="98" t="str">
        <f t="shared" si="249"/>
        <v>-0.0000673063927557778</v>
      </c>
      <c r="AG437" s="98" t="str">
        <f t="shared" si="250"/>
        <v>0.00979767603586606i</v>
      </c>
      <c r="AH437" s="98">
        <f t="shared" si="264"/>
        <v>9.7976760358660601E-3</v>
      </c>
      <c r="AI437" s="98">
        <f t="shared" si="265"/>
        <v>1.5707963267948966</v>
      </c>
      <c r="AJ437" s="98" t="str">
        <f t="shared" si="251"/>
        <v>1+9.85909004761205i</v>
      </c>
      <c r="AK437" s="98">
        <f t="shared" si="266"/>
        <v>9.9096748971357744</v>
      </c>
      <c r="AL437" s="98">
        <f t="shared" si="267"/>
        <v>1.4697127874246638</v>
      </c>
      <c r="AM437" s="98" t="str">
        <f t="shared" si="252"/>
        <v>1+1459.72527351997i</v>
      </c>
      <c r="AN437" s="98">
        <f t="shared" si="268"/>
        <v>1459.725616050137</v>
      </c>
      <c r="AO437" s="98">
        <f t="shared" si="269"/>
        <v>1.5701112664882042</v>
      </c>
      <c r="AP437" s="168" t="str">
        <f t="shared" si="270"/>
        <v>-0.101424376541616+1.00682168966564i</v>
      </c>
      <c r="AQ437" s="98">
        <f t="shared" si="271"/>
        <v>0.10290125076089446</v>
      </c>
      <c r="AR437" s="169">
        <f t="shared" si="272"/>
        <v>95.752409119873434</v>
      </c>
      <c r="AS437" s="168" t="str">
        <f t="shared" si="273"/>
        <v>0.0428611649019234-0.00804377585085832i</v>
      </c>
      <c r="AT437" s="190">
        <f t="shared" si="274"/>
        <v>-27.208393161439876</v>
      </c>
      <c r="AU437" s="169">
        <f t="shared" si="275"/>
        <v>-10.629091627568666</v>
      </c>
      <c r="AV437" s="225"/>
      <c r="AX437">
        <f t="shared" si="276"/>
        <v>0</v>
      </c>
      <c r="AY437">
        <f t="shared" si="277"/>
        <v>0</v>
      </c>
    </row>
    <row r="438" spans="14:51" x14ac:dyDescent="0.25">
      <c r="N438" s="170">
        <v>20</v>
      </c>
      <c r="O438" s="199">
        <f t="shared" si="278"/>
        <v>158489.31924611164</v>
      </c>
      <c r="P438" s="189" t="str">
        <f t="shared" si="244"/>
        <v>87</v>
      </c>
      <c r="Q438" s="160" t="str">
        <f t="shared" si="245"/>
        <v>1+7468.63321524049i</v>
      </c>
      <c r="R438" s="160">
        <f t="shared" si="253"/>
        <v>7468.6332821871429</v>
      </c>
      <c r="S438" s="160">
        <f t="shared" si="254"/>
        <v>1.5706624334886912</v>
      </c>
      <c r="T438" s="160" t="str">
        <f t="shared" si="246"/>
        <v>1+4.97908881016031i</v>
      </c>
      <c r="U438" s="160">
        <f t="shared" si="255"/>
        <v>5.0785160607665327</v>
      </c>
      <c r="V438" s="160">
        <f t="shared" si="256"/>
        <v>1.3725932432256578</v>
      </c>
      <c r="W438" s="98" t="str">
        <f t="shared" si="247"/>
        <v>1-0.705370914772713i</v>
      </c>
      <c r="X438" s="160">
        <f t="shared" si="257"/>
        <v>1.2237434892195724</v>
      </c>
      <c r="Y438" s="160">
        <f t="shared" si="258"/>
        <v>-0.61432151716931027</v>
      </c>
      <c r="Z438" s="98" t="str">
        <f t="shared" si="248"/>
        <v>0.821376964870429+1.48177682990371i</v>
      </c>
      <c r="AA438" s="160">
        <f t="shared" si="259"/>
        <v>1.6942026714827378</v>
      </c>
      <c r="AB438" s="160">
        <f t="shared" si="260"/>
        <v>1.0646432777559878</v>
      </c>
      <c r="AC438" s="171" t="str">
        <f t="shared" si="261"/>
        <v>-0.0128821720656748-0.0407426328160365i</v>
      </c>
      <c r="AD438" s="190">
        <f t="shared" si="262"/>
        <v>-27.3852004158611</v>
      </c>
      <c r="AE438" s="169">
        <f t="shared" si="263"/>
        <v>-107.54612535391276</v>
      </c>
      <c r="AF438" s="98" t="str">
        <f t="shared" si="249"/>
        <v>-0.0000673063927557778</v>
      </c>
      <c r="AG438" s="98" t="str">
        <f t="shared" si="250"/>
        <v>0.0100258932281388i</v>
      </c>
      <c r="AH438" s="98">
        <f t="shared" si="264"/>
        <v>1.0025893228138801E-2</v>
      </c>
      <c r="AI438" s="98">
        <f t="shared" si="265"/>
        <v>1.5707963267948966</v>
      </c>
      <c r="AJ438" s="98" t="str">
        <f t="shared" si="251"/>
        <v>1+10.0887377559863i</v>
      </c>
      <c r="AK438" s="98">
        <f t="shared" si="266"/>
        <v>10.138176833586179</v>
      </c>
      <c r="AL438" s="98">
        <f t="shared" si="267"/>
        <v>1.4719986137240495</v>
      </c>
      <c r="AM438" s="98" t="str">
        <f t="shared" si="252"/>
        <v>1+1493.72664304809i</v>
      </c>
      <c r="AN438" s="98">
        <f t="shared" si="268"/>
        <v>1493.7269777813196</v>
      </c>
      <c r="AO438" s="98">
        <f t="shared" si="269"/>
        <v>1.5701268603598839</v>
      </c>
      <c r="AP438" s="168" t="str">
        <f t="shared" si="270"/>
        <v>-0.0969039402886247+0.984351697581087i</v>
      </c>
      <c r="AQ438" s="98">
        <f t="shared" si="271"/>
        <v>-9.5107942567628292E-2</v>
      </c>
      <c r="AR438" s="169">
        <f t="shared" si="272"/>
        <v>95.622334383252138</v>
      </c>
      <c r="AS438" s="168" t="str">
        <f t="shared" si="273"/>
        <v>0.0413534130090284-0.00873246628377208i</v>
      </c>
      <c r="AT438" s="190">
        <f t="shared" si="274"/>
        <v>-27.480308358428722</v>
      </c>
      <c r="AU438" s="169">
        <f t="shared" si="275"/>
        <v>-11.923790970660605</v>
      </c>
      <c r="AV438" s="225"/>
      <c r="AX438">
        <f t="shared" si="276"/>
        <v>0</v>
      </c>
      <c r="AY438">
        <f t="shared" si="277"/>
        <v>0</v>
      </c>
    </row>
    <row r="439" spans="14:51" x14ac:dyDescent="0.25">
      <c r="N439" s="170">
        <v>21</v>
      </c>
      <c r="O439" s="199">
        <f t="shared" si="278"/>
        <v>162181.00973589328</v>
      </c>
      <c r="P439" s="189" t="str">
        <f t="shared" si="244"/>
        <v>87</v>
      </c>
      <c r="Q439" s="160" t="str">
        <f t="shared" si="245"/>
        <v>1+7642.60003107084i</v>
      </c>
      <c r="R439" s="160">
        <f t="shared" si="253"/>
        <v>7642.6000964936002</v>
      </c>
      <c r="S439" s="160">
        <f t="shared" si="254"/>
        <v>1.5706654812724006</v>
      </c>
      <c r="T439" s="160" t="str">
        <f t="shared" si="246"/>
        <v>1+5.09506668738055i</v>
      </c>
      <c r="U439" s="160">
        <f t="shared" si="255"/>
        <v>5.1922735433386995</v>
      </c>
      <c r="V439" s="160">
        <f t="shared" si="256"/>
        <v>1.376991516010619</v>
      </c>
      <c r="W439" s="98" t="str">
        <f t="shared" si="247"/>
        <v>1-0.721801114045579i</v>
      </c>
      <c r="X439" s="160">
        <f t="shared" si="257"/>
        <v>1.2332870096767576</v>
      </c>
      <c r="Y439" s="160">
        <f t="shared" si="258"/>
        <v>-0.62520823228342071</v>
      </c>
      <c r="Z439" s="98" t="str">
        <f t="shared" si="248"/>
        <v>0.812958720576329+1.51629184616445i</v>
      </c>
      <c r="AA439" s="160">
        <f t="shared" si="259"/>
        <v>1.7204775046788312</v>
      </c>
      <c r="AB439" s="160">
        <f t="shared" si="260"/>
        <v>1.0786492496849382</v>
      </c>
      <c r="AC439" s="171" t="str">
        <f t="shared" si="261"/>
        <v>-0.0135985226176007-0.0401277217505663i</v>
      </c>
      <c r="AD439" s="190">
        <f t="shared" si="262"/>
        <v>-27.458983202632858</v>
      </c>
      <c r="AE439" s="169">
        <f t="shared" si="263"/>
        <v>-108.72054341963812</v>
      </c>
      <c r="AF439" s="98" t="str">
        <f t="shared" si="249"/>
        <v>-0.0000673063927557778</v>
      </c>
      <c r="AG439" s="98" t="str">
        <f t="shared" si="250"/>
        <v>0.0102594262817095i</v>
      </c>
      <c r="AH439" s="98">
        <f t="shared" si="264"/>
        <v>1.02594262817095E-2</v>
      </c>
      <c r="AI439" s="98">
        <f t="shared" si="265"/>
        <v>1.5707963267948966</v>
      </c>
      <c r="AJ439" s="98" t="str">
        <f t="shared" si="251"/>
        <v>1+10.323734646659i</v>
      </c>
      <c r="AK439" s="98">
        <f t="shared" si="266"/>
        <v>10.372053656563267</v>
      </c>
      <c r="AL439" s="98">
        <f t="shared" si="267"/>
        <v>1.4742334095969036</v>
      </c>
      <c r="AM439" s="98" t="str">
        <f t="shared" si="252"/>
        <v>1+1528.52000621416i</v>
      </c>
      <c r="AN439" s="98">
        <f t="shared" si="268"/>
        <v>1528.5203333279333</v>
      </c>
      <c r="AO439" s="98">
        <f t="shared" si="269"/>
        <v>1.5701420992720228</v>
      </c>
      <c r="AP439" s="168" t="str">
        <f t="shared" si="270"/>
        <v>-0.0925830856747408+0.962363653388224i</v>
      </c>
      <c r="AQ439" s="98">
        <f t="shared" si="271"/>
        <v>-0.29320588459802155</v>
      </c>
      <c r="AR439" s="169">
        <f t="shared" si="272"/>
        <v>95.495163137014288</v>
      </c>
      <c r="AS439" s="168" t="str">
        <f t="shared" si="273"/>
        <v>0.0398764540905763-0.00937157560619177i</v>
      </c>
      <c r="AT439" s="190">
        <f t="shared" si="274"/>
        <v>-27.752189087230875</v>
      </c>
      <c r="AU439" s="169">
        <f t="shared" si="275"/>
        <v>-13.225380282623837</v>
      </c>
      <c r="AV439" s="225"/>
      <c r="AX439">
        <f t="shared" si="276"/>
        <v>0</v>
      </c>
      <c r="AY439">
        <f t="shared" si="277"/>
        <v>0</v>
      </c>
    </row>
    <row r="440" spans="14:51" x14ac:dyDescent="0.25">
      <c r="N440" s="170">
        <v>22</v>
      </c>
      <c r="O440" s="199">
        <f t="shared" si="278"/>
        <v>165958.69074375604</v>
      </c>
      <c r="P440" s="189" t="str">
        <f t="shared" si="244"/>
        <v>87</v>
      </c>
      <c r="Q440" s="160" t="str">
        <f t="shared" si="245"/>
        <v>1+7820.61905459949i</v>
      </c>
      <c r="R440" s="160">
        <f t="shared" si="253"/>
        <v>7820.6191185330472</v>
      </c>
      <c r="S440" s="160">
        <f t="shared" si="254"/>
        <v>1.5706684596800853</v>
      </c>
      <c r="T440" s="160" t="str">
        <f t="shared" si="246"/>
        <v>1+5.21374603639965i</v>
      </c>
      <c r="U440" s="160">
        <f t="shared" si="255"/>
        <v>5.3087802489906339</v>
      </c>
      <c r="V440" s="160">
        <f t="shared" si="256"/>
        <v>1.381297021868279</v>
      </c>
      <c r="W440" s="98" t="str">
        <f t="shared" si="247"/>
        <v>1-0.738614021823285i</v>
      </c>
      <c r="X440" s="160">
        <f t="shared" si="257"/>
        <v>1.243201782991791</v>
      </c>
      <c r="Y440" s="160">
        <f t="shared" si="258"/>
        <v>-0.6361741694614117</v>
      </c>
      <c r="Z440" s="98" t="str">
        <f t="shared" si="248"/>
        <v>0.804143736651507+1.55161082043254i</v>
      </c>
      <c r="AA440" s="160">
        <f t="shared" si="259"/>
        <v>1.7476107367715465</v>
      </c>
      <c r="AB440" s="160">
        <f t="shared" si="260"/>
        <v>1.0926446535401899</v>
      </c>
      <c r="AC440" s="171" t="str">
        <f t="shared" si="261"/>
        <v>-0.0143028080824336-0.0395020100890409i</v>
      </c>
      <c r="AD440" s="190">
        <f t="shared" si="262"/>
        <v>-27.532604279936312</v>
      </c>
      <c r="AE440" s="169">
        <f t="shared" si="263"/>
        <v>-109.90420624770682</v>
      </c>
      <c r="AF440" s="98" t="str">
        <f t="shared" si="249"/>
        <v>-0.0000673063927557778</v>
      </c>
      <c r="AG440" s="98" t="str">
        <f t="shared" si="250"/>
        <v>0.0104983990188943i</v>
      </c>
      <c r="AH440" s="98">
        <f t="shared" si="264"/>
        <v>1.04983990188943E-2</v>
      </c>
      <c r="AI440" s="98">
        <f t="shared" si="265"/>
        <v>1.5707963267948966</v>
      </c>
      <c r="AJ440" s="98" t="str">
        <f t="shared" si="251"/>
        <v>1+10.5642053180923i</v>
      </c>
      <c r="AK440" s="98">
        <f t="shared" si="266"/>
        <v>10.611429404317292</v>
      </c>
      <c r="AL440" s="98">
        <f t="shared" si="267"/>
        <v>1.4764182706223621</v>
      </c>
      <c r="AM440" s="98" t="str">
        <f t="shared" si="252"/>
        <v>1+1564.12381091989i</v>
      </c>
      <c r="AN440" s="98">
        <f t="shared" si="268"/>
        <v>1564.1241305876461</v>
      </c>
      <c r="AO440" s="98">
        <f t="shared" si="269"/>
        <v>1.5701569913044651</v>
      </c>
      <c r="AP440" s="168" t="str">
        <f t="shared" si="270"/>
        <v>-0.0884531660515043+0.940848517376933i</v>
      </c>
      <c r="AQ440" s="98">
        <f t="shared" si="271"/>
        <v>-0.49138865529719994</v>
      </c>
      <c r="AR440" s="169">
        <f t="shared" si="272"/>
        <v>95.37083307204017</v>
      </c>
      <c r="AS440" s="168" t="str">
        <f t="shared" si="273"/>
        <v>0.0384305362840011-0.00996269792091033i</v>
      </c>
      <c r="AT440" s="190">
        <f t="shared" si="274"/>
        <v>-28.023992935233508</v>
      </c>
      <c r="AU440" s="169">
        <f t="shared" si="275"/>
        <v>-14.533373175666643</v>
      </c>
      <c r="AV440" s="225"/>
      <c r="AX440">
        <f t="shared" si="276"/>
        <v>0</v>
      </c>
      <c r="AY440">
        <f t="shared" si="277"/>
        <v>0</v>
      </c>
    </row>
    <row r="441" spans="14:51" x14ac:dyDescent="0.25">
      <c r="N441" s="170">
        <v>23</v>
      </c>
      <c r="O441" s="199">
        <f t="shared" si="278"/>
        <v>169824.36524617471</v>
      </c>
      <c r="P441" s="189" t="str">
        <f t="shared" si="244"/>
        <v>87</v>
      </c>
      <c r="Q441" s="160" t="str">
        <f t="shared" si="245"/>
        <v>1+8002.78467386897i</v>
      </c>
      <c r="R441" s="160">
        <f t="shared" si="253"/>
        <v>8002.784736347221</v>
      </c>
      <c r="S441" s="160">
        <f t="shared" si="254"/>
        <v>1.5706713702909361</v>
      </c>
      <c r="T441" s="160" t="str">
        <f t="shared" si="246"/>
        <v>1+5.3351897825793i</v>
      </c>
      <c r="U441" s="160">
        <f t="shared" si="255"/>
        <v>5.4280981951451981</v>
      </c>
      <c r="V441" s="160">
        <f t="shared" si="256"/>
        <v>1.3855114048248309</v>
      </c>
      <c r="W441" s="98" t="str">
        <f t="shared" si="247"/>
        <v>1-0.755818552532069i</v>
      </c>
      <c r="X441" s="160">
        <f t="shared" si="257"/>
        <v>1.2534997743724057</v>
      </c>
      <c r="Y441" s="160">
        <f t="shared" si="258"/>
        <v>-0.64721459388454372</v>
      </c>
      <c r="Z441" s="98" t="str">
        <f t="shared" si="248"/>
        <v>0.79491331533322+1.5877524792956i</v>
      </c>
      <c r="AA441" s="160">
        <f t="shared" si="259"/>
        <v>1.7756252742071947</v>
      </c>
      <c r="AB441" s="160">
        <f t="shared" si="260"/>
        <v>1.1066263166164159</v>
      </c>
      <c r="AC441" s="171" t="str">
        <f t="shared" si="261"/>
        <v>-0.0149944298157102-0.0388659073022107i</v>
      </c>
      <c r="AD441" s="190">
        <f t="shared" si="262"/>
        <v>-27.606024900406517</v>
      </c>
      <c r="AE441" s="169">
        <f t="shared" si="263"/>
        <v>-111.09656666508248</v>
      </c>
      <c r="AF441" s="98" t="str">
        <f t="shared" si="249"/>
        <v>-0.0000673063927557778</v>
      </c>
      <c r="AG441" s="98" t="str">
        <f t="shared" si="250"/>
        <v>0.0107429381462017i</v>
      </c>
      <c r="AH441" s="98">
        <f t="shared" si="264"/>
        <v>1.0742938146201701E-2</v>
      </c>
      <c r="AI441" s="98">
        <f t="shared" si="265"/>
        <v>1.5707963267948966</v>
      </c>
      <c r="AJ441" s="98" t="str">
        <f t="shared" si="251"/>
        <v>1+10.8102772710188i</v>
      </c>
      <c r="AK441" s="98">
        <f t="shared" si="266"/>
        <v>10.856431028487476</v>
      </c>
      <c r="AL441" s="98">
        <f t="shared" si="267"/>
        <v>1.4785542717591846</v>
      </c>
      <c r="AM441" s="98" t="str">
        <f t="shared" si="252"/>
        <v>1+1600.55693477379i</v>
      </c>
      <c r="AN441" s="98">
        <f t="shared" si="268"/>
        <v>1600.5572471650212</v>
      </c>
      <c r="AO441" s="98">
        <f t="shared" si="269"/>
        <v>1.5701715443531377</v>
      </c>
      <c r="AP441" s="168" t="str">
        <f t="shared" si="270"/>
        <v>-0.0845058949614642+0.919797331058242i</v>
      </c>
      <c r="AQ441" s="98">
        <f t="shared" si="271"/>
        <v>-0.68965250461075001</v>
      </c>
      <c r="AR441" s="169">
        <f t="shared" si="272"/>
        <v>95.249283050133073</v>
      </c>
      <c r="AS441" s="168" t="str">
        <f t="shared" si="273"/>
        <v>0.0370158755167439-0.0105074382451677i</v>
      </c>
      <c r="AT441" s="190">
        <f t="shared" si="274"/>
        <v>-28.295677405017269</v>
      </c>
      <c r="AU441" s="169">
        <f t="shared" si="275"/>
        <v>-15.847283614949337</v>
      </c>
      <c r="AV441" s="225"/>
      <c r="AX441">
        <f t="shared" si="276"/>
        <v>0</v>
      </c>
      <c r="AY441">
        <f t="shared" si="277"/>
        <v>0</v>
      </c>
    </row>
    <row r="442" spans="14:51" x14ac:dyDescent="0.25">
      <c r="N442" s="170">
        <v>24</v>
      </c>
      <c r="O442" s="199">
        <f t="shared" si="278"/>
        <v>173780.0828749378</v>
      </c>
      <c r="P442" s="189" t="str">
        <f t="shared" si="244"/>
        <v>87</v>
      </c>
      <c r="Q442" s="160" t="str">
        <f t="shared" si="245"/>
        <v>1+8189.19347550197i</v>
      </c>
      <c r="R442" s="160">
        <f t="shared" si="253"/>
        <v>8189.1935365580439</v>
      </c>
      <c r="S442" s="160">
        <f t="shared" si="254"/>
        <v>1.5706742146481973</v>
      </c>
      <c r="T442" s="160" t="str">
        <f t="shared" si="246"/>
        <v>1+5.4594623170013i</v>
      </c>
      <c r="U442" s="160">
        <f t="shared" si="255"/>
        <v>5.550290874427863</v>
      </c>
      <c r="V442" s="160">
        <f t="shared" si="256"/>
        <v>1.3896363002970631</v>
      </c>
      <c r="W442" s="98" t="str">
        <f t="shared" si="247"/>
        <v>1-0.773423828241853i</v>
      </c>
      <c r="X442" s="160">
        <f t="shared" si="257"/>
        <v>1.2641931885959057</v>
      </c>
      <c r="Y442" s="160">
        <f t="shared" si="258"/>
        <v>-0.65832459388532771</v>
      </c>
      <c r="Z442" s="98" t="str">
        <f t="shared" si="248"/>
        <v>0.785247877660299+1.62473598553959i</v>
      </c>
      <c r="AA442" s="160">
        <f t="shared" si="259"/>
        <v>1.8045446107196428</v>
      </c>
      <c r="AB442" s="160">
        <f t="shared" si="260"/>
        <v>1.1205912776494023</v>
      </c>
      <c r="AC442" s="171" t="str">
        <f t="shared" si="261"/>
        <v>-0.0156728263130391-0.0382198472923332i</v>
      </c>
      <c r="AD442" s="190">
        <f t="shared" si="262"/>
        <v>-27.679206307397351</v>
      </c>
      <c r="AE442" s="169">
        <f t="shared" si="263"/>
        <v>-112.29707997194747</v>
      </c>
      <c r="AF442" s="98" t="str">
        <f t="shared" si="249"/>
        <v>-0.0000673063927557778</v>
      </c>
      <c r="AG442" s="98" t="str">
        <f t="shared" si="250"/>
        <v>0.0109931733215138i</v>
      </c>
      <c r="AH442" s="98">
        <f t="shared" si="264"/>
        <v>1.09931733215138E-2</v>
      </c>
      <c r="AI442" s="98">
        <f t="shared" si="265"/>
        <v>1.5707963267948966</v>
      </c>
      <c r="AJ442" s="98" t="str">
        <f t="shared" si="251"/>
        <v>1+11.0620809760455i</v>
      </c>
      <c r="AK442" s="98">
        <f t="shared" si="266"/>
        <v>11.107188461558927</v>
      </c>
      <c r="AL442" s="98">
        <f t="shared" si="267"/>
        <v>1.4806424675363845</v>
      </c>
      <c r="AM442" s="98" t="str">
        <f t="shared" si="252"/>
        <v>1+1637.83869510039i</v>
      </c>
      <c r="AN442" s="98">
        <f t="shared" si="268"/>
        <v>1637.8390003807297</v>
      </c>
      <c r="AO442" s="98">
        <f t="shared" si="269"/>
        <v>1.5701857661342344</v>
      </c>
      <c r="AP442" s="168" t="str">
        <f t="shared" si="270"/>
        <v>-0.0807333324008397+0.899201223167977i</v>
      </c>
      <c r="AQ442" s="98">
        <f t="shared" si="271"/>
        <v>-0.88799384536954307</v>
      </c>
      <c r="AR442" s="169">
        <f t="shared" si="272"/>
        <v>95.13045309333647</v>
      </c>
      <c r="AS442" s="168" t="str">
        <f t="shared" si="273"/>
        <v>0.0356326529309505-0.0110074089554227i</v>
      </c>
      <c r="AT442" s="190">
        <f t="shared" si="274"/>
        <v>-28.567200152766908</v>
      </c>
      <c r="AU442" s="169">
        <f t="shared" si="275"/>
        <v>-17.166626878610963</v>
      </c>
      <c r="AV442" s="225"/>
      <c r="AX442">
        <f t="shared" si="276"/>
        <v>0</v>
      </c>
      <c r="AY442">
        <f t="shared" si="277"/>
        <v>0</v>
      </c>
    </row>
    <row r="443" spans="14:51" x14ac:dyDescent="0.25">
      <c r="N443" s="170">
        <v>25</v>
      </c>
      <c r="O443" s="199">
        <f t="shared" si="278"/>
        <v>177827.94100389251</v>
      </c>
      <c r="P443" s="189" t="str">
        <f t="shared" si="244"/>
        <v>87</v>
      </c>
      <c r="Q443" s="160" t="str">
        <f t="shared" si="245"/>
        <v>1+8379.94429591247i</v>
      </c>
      <c r="R443" s="160">
        <f t="shared" si="253"/>
        <v>8379.9443555787366</v>
      </c>
      <c r="S443" s="160">
        <f t="shared" si="254"/>
        <v>1.5706769942599845</v>
      </c>
      <c r="T443" s="160" t="str">
        <f t="shared" si="246"/>
        <v>1+5.5866295306083i</v>
      </c>
      <c r="U443" s="160">
        <f t="shared" si="255"/>
        <v>5.6754232892591121</v>
      </c>
      <c r="V443" s="160">
        <f t="shared" si="256"/>
        <v>1.3936733336114526</v>
      </c>
      <c r="W443" s="98" t="str">
        <f t="shared" si="247"/>
        <v>1-0.791439183502844i</v>
      </c>
      <c r="X443" s="160">
        <f t="shared" si="257"/>
        <v>1.2752944684203913</v>
      </c>
      <c r="Y443" s="160">
        <f t="shared" si="258"/>
        <v>-0.66949908995725005</v>
      </c>
      <c r="Z443" s="98" t="str">
        <f t="shared" si="248"/>
        <v>0.775126921943578+1.66258094830903i</v>
      </c>
      <c r="AA443" s="160">
        <f t="shared" si="259"/>
        <v>1.8343928572696413</v>
      </c>
      <c r="AB443" s="160">
        <f t="shared" si="260"/>
        <v>1.1345367926876735</v>
      </c>
      <c r="AC443" s="171" t="str">
        <f t="shared" si="261"/>
        <v>-0.0163374738647085-0.0375642853340724i</v>
      </c>
      <c r="AD443" s="190">
        <f t="shared" si="262"/>
        <v>-27.75210997926024</v>
      </c>
      <c r="AE443" s="169">
        <f t="shared" si="263"/>
        <v>-113.50520487923913</v>
      </c>
      <c r="AF443" s="98" t="str">
        <f t="shared" si="249"/>
        <v>-0.0000673063927557778</v>
      </c>
      <c r="AG443" s="98" t="str">
        <f t="shared" si="250"/>
        <v>0.0112492372228328i</v>
      </c>
      <c r="AH443" s="98">
        <f t="shared" si="264"/>
        <v>1.12492372228328E-2</v>
      </c>
      <c r="AI443" s="98">
        <f t="shared" si="265"/>
        <v>1.5707963267948966</v>
      </c>
      <c r="AJ443" s="98" t="str">
        <f t="shared" si="251"/>
        <v>1+11.3197499428297i</v>
      </c>
      <c r="AK443" s="98">
        <f t="shared" si="266"/>
        <v>11.363834685888079</v>
      </c>
      <c r="AL443" s="98">
        <f t="shared" si="267"/>
        <v>1.4826838922570915</v>
      </c>
      <c r="AM443" s="98" t="str">
        <f t="shared" si="252"/>
        <v>1+1675.98885918249i</v>
      </c>
      <c r="AN443" s="98">
        <f t="shared" si="268"/>
        <v>1675.9891575138022</v>
      </c>
      <c r="AO443" s="98">
        <f t="shared" si="269"/>
        <v>1.5701996641883091</v>
      </c>
      <c r="AP443" s="168" t="str">
        <f t="shared" si="270"/>
        <v>-0.0771278714923486+0.879051415058418i</v>
      </c>
      <c r="AQ443" s="98">
        <f t="shared" si="271"/>
        <v>-1.0864092464671025</v>
      </c>
      <c r="AR443" s="169">
        <f t="shared" si="272"/>
        <v>95.014284372488248</v>
      </c>
      <c r="AS443" s="168" t="str">
        <f t="shared" si="273"/>
        <v>0.0342810127633214-0.0114642261473037i</v>
      </c>
      <c r="AT443" s="190">
        <f t="shared" si="274"/>
        <v>-28.838519225727328</v>
      </c>
      <c r="AU443" s="169">
        <f t="shared" si="275"/>
        <v>-18.490920506750903</v>
      </c>
      <c r="AV443" s="225"/>
      <c r="AX443">
        <f t="shared" si="276"/>
        <v>0</v>
      </c>
      <c r="AY443">
        <f t="shared" si="277"/>
        <v>0</v>
      </c>
    </row>
    <row r="444" spans="14:51" x14ac:dyDescent="0.25">
      <c r="N444" s="170">
        <v>26</v>
      </c>
      <c r="O444" s="199">
        <f t="shared" si="278"/>
        <v>181970.08586099857</v>
      </c>
      <c r="P444" s="189" t="str">
        <f t="shared" si="244"/>
        <v>87</v>
      </c>
      <c r="Q444" s="160" t="str">
        <f t="shared" si="245"/>
        <v>1+8575.13827371024i</v>
      </c>
      <c r="R444" s="160">
        <f t="shared" si="253"/>
        <v>8575.1383320183359</v>
      </c>
      <c r="S444" s="160">
        <f t="shared" si="254"/>
        <v>1.5706797106000847</v>
      </c>
      <c r="T444" s="160" t="str">
        <f t="shared" si="246"/>
        <v>1+5.71675884914015i</v>
      </c>
      <c r="U444" s="160">
        <f t="shared" si="255"/>
        <v>5.8035619871956401</v>
      </c>
      <c r="V444" s="160">
        <f t="shared" si="256"/>
        <v>1.3976241186441747</v>
      </c>
      <c r="W444" s="98" t="str">
        <f t="shared" si="247"/>
        <v>1-0.809874170294856i</v>
      </c>
      <c r="X444" s="160">
        <f t="shared" si="257"/>
        <v>1.2868162929147196</v>
      </c>
      <c r="Y444" s="160">
        <f t="shared" si="258"/>
        <v>-0.68073284470631779</v>
      </c>
      <c r="Z444" s="98" t="str">
        <f t="shared" si="248"/>
        <v>0.764528980279046+1.70130743350411i</v>
      </c>
      <c r="AA444" s="160">
        <f t="shared" si="259"/>
        <v>1.8651947740069563</v>
      </c>
      <c r="AB444" s="160">
        <f t="shared" si="260"/>
        <v>1.1484603399129114</v>
      </c>
      <c r="AC444" s="171" t="str">
        <f t="shared" si="261"/>
        <v>-0.0169878869421984-0.0368996950351497i</v>
      </c>
      <c r="AD444" s="190">
        <f t="shared" si="262"/>
        <v>-27.824697870828054</v>
      </c>
      <c r="AE444" s="169">
        <f t="shared" si="263"/>
        <v>-114.7204044329881</v>
      </c>
      <c r="AF444" s="98" t="str">
        <f t="shared" si="249"/>
        <v>-0.0000673063927557778</v>
      </c>
      <c r="AG444" s="98" t="str">
        <f t="shared" si="250"/>
        <v>0.0115112656186286i</v>
      </c>
      <c r="AH444" s="98">
        <f t="shared" si="264"/>
        <v>1.1511265618628599E-2</v>
      </c>
      <c r="AI444" s="98">
        <f t="shared" si="265"/>
        <v>1.5707963267948966</v>
      </c>
      <c r="AJ444" s="98" t="str">
        <f t="shared" si="251"/>
        <v>1+11.583420790868i</v>
      </c>
      <c r="AK444" s="98">
        <f t="shared" si="266"/>
        <v>11.626505804338336</v>
      </c>
      <c r="AL444" s="98">
        <f t="shared" si="267"/>
        <v>1.4846795602143206</v>
      </c>
      <c r="AM444" s="98" t="str">
        <f t="shared" si="252"/>
        <v>1+1715.02765474204i</v>
      </c>
      <c r="AN444" s="98">
        <f t="shared" si="268"/>
        <v>1715.0279462825038</v>
      </c>
      <c r="AO444" s="98">
        <f t="shared" si="269"/>
        <v>1.5702132458842726</v>
      </c>
      <c r="AP444" s="168" t="str">
        <f t="shared" si="270"/>
        <v>-0.0736822255667877+0.859339225518317i</v>
      </c>
      <c r="AQ444" s="98">
        <f t="shared" si="271"/>
        <v>-1.2848954263015357</v>
      </c>
      <c r="AR444" s="169">
        <f t="shared" si="272"/>
        <v>94.90071919508685</v>
      </c>
      <c r="AS444" s="168" t="str">
        <f t="shared" si="273"/>
        <v>0.0329610606709458-0.0118795059551759i</v>
      </c>
      <c r="AT444" s="190">
        <f t="shared" si="274"/>
        <v>-29.109593297129589</v>
      </c>
      <c r="AU444" s="169">
        <f t="shared" si="275"/>
        <v>-19.819685237901179</v>
      </c>
      <c r="AV444" s="225"/>
      <c r="AX444">
        <f t="shared" si="276"/>
        <v>0</v>
      </c>
      <c r="AY444">
        <f t="shared" si="277"/>
        <v>0</v>
      </c>
    </row>
    <row r="445" spans="14:51" x14ac:dyDescent="0.25">
      <c r="N445" s="170">
        <v>27</v>
      </c>
      <c r="O445" s="199">
        <f t="shared" si="278"/>
        <v>186208.71366628664</v>
      </c>
      <c r="P445" s="189" t="str">
        <f t="shared" si="244"/>
        <v>87</v>
      </c>
      <c r="Q445" s="160" t="str">
        <f t="shared" si="245"/>
        <v>1+8774.87890332617i</v>
      </c>
      <c r="R445" s="160">
        <f t="shared" si="253"/>
        <v>8774.8789603070127</v>
      </c>
      <c r="S445" s="160">
        <f t="shared" si="254"/>
        <v>1.5706823651087369</v>
      </c>
      <c r="T445" s="160" t="str">
        <f t="shared" si="246"/>
        <v>1+5.8499192688841i</v>
      </c>
      <c r="U445" s="160">
        <f t="shared" si="255"/>
        <v>5.9347750970412916</v>
      </c>
      <c r="V445" s="160">
        <f t="shared" si="256"/>
        <v>1.4014902565758431</v>
      </c>
      <c r="W445" s="98" t="str">
        <f t="shared" si="247"/>
        <v>1-0.828738563091916i</v>
      </c>
      <c r="X445" s="160">
        <f t="shared" si="257"/>
        <v>1.2987715757421139</v>
      </c>
      <c r="Y445" s="160">
        <f t="shared" si="258"/>
        <v>-0.6920204737087996</v>
      </c>
      <c r="Z445" s="98" t="str">
        <f t="shared" si="248"/>
        <v>0.753431573011533+1.74093597441991i</v>
      </c>
      <c r="AA445" s="160">
        <f t="shared" si="259"/>
        <v>1.8969758043370071</v>
      </c>
      <c r="AB445" s="160">
        <f t="shared" si="260"/>
        <v>1.1623596234127085</v>
      </c>
      <c r="AC445" s="171" t="str">
        <f t="shared" si="261"/>
        <v>-0.0176236183253792-0.0362265653420598i</v>
      </c>
      <c r="AD445" s="190">
        <f t="shared" si="262"/>
        <v>-27.896932650572751</v>
      </c>
      <c r="AE445" s="169">
        <f t="shared" si="263"/>
        <v>-115.94214692397622</v>
      </c>
      <c r="AF445" s="98" t="str">
        <f t="shared" si="249"/>
        <v>-0.0000673063927557778</v>
      </c>
      <c r="AG445" s="98" t="str">
        <f t="shared" si="250"/>
        <v>0.0117793974398251i</v>
      </c>
      <c r="AH445" s="98">
        <f t="shared" si="264"/>
        <v>1.17793974398251E-2</v>
      </c>
      <c r="AI445" s="98">
        <f t="shared" si="265"/>
        <v>1.5707963267948966</v>
      </c>
      <c r="AJ445" s="98" t="str">
        <f t="shared" si="251"/>
        <v>1+11.8532333219344i</v>
      </c>
      <c r="AK445" s="98">
        <f t="shared" si="266"/>
        <v>11.895341112562347</v>
      </c>
      <c r="AL445" s="98">
        <f t="shared" si="267"/>
        <v>1.4866304659173544</v>
      </c>
      <c r="AM445" s="98" t="str">
        <f t="shared" si="252"/>
        <v>1+1754.97578066523i</v>
      </c>
      <c r="AN445" s="98">
        <f t="shared" si="268"/>
        <v>1754.9760655694236</v>
      </c>
      <c r="AO445" s="98">
        <f t="shared" si="269"/>
        <v>1.5702265184232997</v>
      </c>
      <c r="AP445" s="168" t="str">
        <f t="shared" si="270"/>
        <v>-0.0703894156507747+0.840056075059889i</v>
      </c>
      <c r="AQ445" s="98">
        <f t="shared" si="271"/>
        <v>-1.4834492464718794</v>
      </c>
      <c r="AR445" s="169">
        <f t="shared" si="272"/>
        <v>94.789700992544681</v>
      </c>
      <c r="AS445" s="168" t="str">
        <f t="shared" si="273"/>
        <v>0.0316728624897271-0.0122548608733094i</v>
      </c>
      <c r="AT445" s="190">
        <f t="shared" si="274"/>
        <v>-29.380381897044625</v>
      </c>
      <c r="AU445" s="169">
        <f t="shared" si="275"/>
        <v>-21.15244593143154</v>
      </c>
      <c r="AV445" s="225"/>
      <c r="AX445">
        <f t="shared" si="276"/>
        <v>0</v>
      </c>
      <c r="AY445">
        <f t="shared" si="277"/>
        <v>0</v>
      </c>
    </row>
    <row r="446" spans="14:51" x14ac:dyDescent="0.25">
      <c r="N446" s="170">
        <v>28</v>
      </c>
      <c r="O446" s="199">
        <f t="shared" si="278"/>
        <v>190546.07179632492</v>
      </c>
      <c r="P446" s="189" t="str">
        <f t="shared" si="244"/>
        <v>87</v>
      </c>
      <c r="Q446" s="160" t="str">
        <f t="shared" si="245"/>
        <v>1+8979.27208988597i</v>
      </c>
      <c r="R446" s="160">
        <f t="shared" si="253"/>
        <v>8979.2721455697701</v>
      </c>
      <c r="S446" s="160">
        <f t="shared" si="254"/>
        <v>1.5706849591933967</v>
      </c>
      <c r="T446" s="160" t="str">
        <f t="shared" si="246"/>
        <v>1+5.9861813932573i</v>
      </c>
      <c r="U446" s="160">
        <f t="shared" si="255"/>
        <v>6.0691323657488239</v>
      </c>
      <c r="V446" s="160">
        <f t="shared" si="256"/>
        <v>1.4052733347549469</v>
      </c>
      <c r="W446" s="98" t="str">
        <f t="shared" si="247"/>
        <v>1-0.848042364044786i</v>
      </c>
      <c r="X446" s="160">
        <f t="shared" si="257"/>
        <v>1.3111734634344416</v>
      </c>
      <c r="Y446" s="160">
        <f t="shared" si="258"/>
        <v>-0.70335645723028528</v>
      </c>
      <c r="Z446" s="98" t="str">
        <f t="shared" si="248"/>
        <v>0.741811161052368+1.78148758263337i</v>
      </c>
      <c r="AA446" s="160">
        <f t="shared" si="259"/>
        <v>1.92976211117815</v>
      </c>
      <c r="AB446" s="160">
        <f t="shared" si="260"/>
        <v>1.1762325759169006</v>
      </c>
      <c r="AC446" s="171" t="str">
        <f t="shared" si="261"/>
        <v>-0.0182442589816231-0.0355453976144443i</v>
      </c>
      <c r="AD446" s="190">
        <f t="shared" si="262"/>
        <v>-27.968777931954669</v>
      </c>
      <c r="AE446" s="169">
        <f t="shared" si="263"/>
        <v>-117.169906781135</v>
      </c>
      <c r="AF446" s="98" t="str">
        <f t="shared" si="249"/>
        <v>-0.0000673063927557778</v>
      </c>
      <c r="AG446" s="98" t="str">
        <f t="shared" si="250"/>
        <v>0.0120537748534629i</v>
      </c>
      <c r="AH446" s="98">
        <f t="shared" si="264"/>
        <v>1.2053774853462901E-2</v>
      </c>
      <c r="AI446" s="98">
        <f t="shared" si="265"/>
        <v>1.5707963267948966</v>
      </c>
      <c r="AJ446" s="98" t="str">
        <f t="shared" si="251"/>
        <v>1+12.1293305942043i</v>
      </c>
      <c r="AK446" s="98">
        <f t="shared" si="266"/>
        <v>12.170483172968131</v>
      </c>
      <c r="AL446" s="98">
        <f t="shared" si="267"/>
        <v>1.4885375843275321</v>
      </c>
      <c r="AM446" s="98" t="str">
        <f t="shared" si="252"/>
        <v>1+1795.85441797719i</v>
      </c>
      <c r="AN446" s="98">
        <f t="shared" si="268"/>
        <v>1795.8546963961733</v>
      </c>
      <c r="AO446" s="98">
        <f t="shared" si="269"/>
        <v>1.5702394888426476</v>
      </c>
      <c r="AP446" s="168" t="str">
        <f t="shared" si="270"/>
        <v>-0.0672427583568591+0.821193489708873i</v>
      </c>
      <c r="AQ446" s="98">
        <f t="shared" si="271"/>
        <v>-1.6820677057226827</v>
      </c>
      <c r="AR446" s="169">
        <f t="shared" si="272"/>
        <v>94.681174306896978</v>
      </c>
      <c r="AS446" s="168" t="str">
        <f t="shared" si="273"/>
        <v>0.0304164434081962-0.012591896117785i</v>
      </c>
      <c r="AT446" s="190">
        <f t="shared" si="274"/>
        <v>-29.650845637677349</v>
      </c>
      <c r="AU446" s="169">
        <f t="shared" si="275"/>
        <v>-22.488732474238049</v>
      </c>
      <c r="AV446" s="225"/>
      <c r="AX446">
        <f t="shared" si="276"/>
        <v>0</v>
      </c>
      <c r="AY446">
        <f t="shared" si="277"/>
        <v>0</v>
      </c>
    </row>
    <row r="447" spans="14:51" x14ac:dyDescent="0.25">
      <c r="N447" s="170">
        <v>29</v>
      </c>
      <c r="O447" s="199">
        <f t="shared" si="278"/>
        <v>194984.45997580473</v>
      </c>
      <c r="P447" s="189" t="str">
        <f t="shared" si="244"/>
        <v>87</v>
      </c>
      <c r="Q447" s="160" t="str">
        <f t="shared" si="245"/>
        <v>1+9188.42620536242i</v>
      </c>
      <c r="R447" s="160">
        <f t="shared" si="253"/>
        <v>9188.4262597787019</v>
      </c>
      <c r="S447" s="160">
        <f t="shared" si="254"/>
        <v>1.5706874942294822</v>
      </c>
      <c r="T447" s="160" t="str">
        <f t="shared" si="246"/>
        <v>1+6.1256174702416i</v>
      </c>
      <c r="U447" s="160">
        <f t="shared" si="255"/>
        <v>6.2067051961349913</v>
      </c>
      <c r="V447" s="160">
        <f t="shared" si="256"/>
        <v>1.4089749256641404</v>
      </c>
      <c r="W447" s="98" t="str">
        <f t="shared" si="247"/>
        <v>1-0.867795808284229i</v>
      </c>
      <c r="X447" s="160">
        <f t="shared" si="257"/>
        <v>1.3240353336960755</v>
      </c>
      <c r="Y447" s="160">
        <f t="shared" si="258"/>
        <v>-0.71473515275221311</v>
      </c>
      <c r="Z447" s="98" t="str">
        <f t="shared" si="248"/>
        <v>0.729643095949823+1.8229837591439i</v>
      </c>
      <c r="AA447" s="160">
        <f t="shared" si="259"/>
        <v>1.9635806155005877</v>
      </c>
      <c r="AB447" s="160">
        <f t="shared" si="260"/>
        <v>1.1900773605157733</v>
      </c>
      <c r="AC447" s="171" t="str">
        <f t="shared" si="261"/>
        <v>-0.0188494377101867-0.0348567027897556i</v>
      </c>
      <c r="AD447" s="190">
        <f t="shared" si="262"/>
        <v>-28.040198497551479</v>
      </c>
      <c r="AE447" s="169">
        <f t="shared" si="263"/>
        <v>-118.40316544697687</v>
      </c>
      <c r="AF447" s="98" t="str">
        <f t="shared" si="249"/>
        <v>-0.0000673063927557778</v>
      </c>
      <c r="AG447" s="98" t="str">
        <f t="shared" si="250"/>
        <v>0.0123345433380785i</v>
      </c>
      <c r="AH447" s="98">
        <f t="shared" si="264"/>
        <v>1.2334543338078501E-2</v>
      </c>
      <c r="AI447" s="98">
        <f t="shared" si="265"/>
        <v>1.5707963267948966</v>
      </c>
      <c r="AJ447" s="98" t="str">
        <f t="shared" si="251"/>
        <v>1+12.4118589981057i</v>
      </c>
      <c r="AK447" s="98">
        <f t="shared" si="266"/>
        <v>12.452077890410797</v>
      </c>
      <c r="AL447" s="98">
        <f t="shared" si="267"/>
        <v>1.4904018711023541</v>
      </c>
      <c r="AM447" s="98" t="str">
        <f t="shared" si="252"/>
        <v>1+1837.68524107248i</v>
      </c>
      <c r="AN447" s="98">
        <f t="shared" si="268"/>
        <v>1837.6855131538746</v>
      </c>
      <c r="AO447" s="98">
        <f t="shared" si="269"/>
        <v>1.5702521640193867</v>
      </c>
      <c r="AP447" s="168" t="str">
        <f t="shared" si="270"/>
        <v>-0.0642358541712476+0.8027431043322i</v>
      </c>
      <c r="AQ447" s="98">
        <f t="shared" si="271"/>
        <v>-1.8807479341262749</v>
      </c>
      <c r="AR447" s="169">
        <f t="shared" si="272"/>
        <v>94.575084777029332</v>
      </c>
      <c r="AS447" s="168" t="str">
        <f t="shared" si="273"/>
        <v>0.0291917875361948-0.0128922060650984i</v>
      </c>
      <c r="AT447" s="190">
        <f t="shared" si="274"/>
        <v>-29.920946431677763</v>
      </c>
      <c r="AU447" s="169">
        <f t="shared" si="275"/>
        <v>-23.828080669947493</v>
      </c>
      <c r="AV447" s="225"/>
      <c r="AX447">
        <f t="shared" si="276"/>
        <v>0</v>
      </c>
      <c r="AY447">
        <f t="shared" si="277"/>
        <v>0</v>
      </c>
    </row>
    <row r="448" spans="14:51" x14ac:dyDescent="0.25">
      <c r="N448" s="170">
        <v>30</v>
      </c>
      <c r="O448" s="199">
        <f t="shared" si="278"/>
        <v>199526.23149688813</v>
      </c>
      <c r="P448" s="189" t="str">
        <f t="shared" si="244"/>
        <v>87</v>
      </c>
      <c r="Q448" s="160" t="str">
        <f t="shared" si="245"/>
        <v>1+9402.45214603622i</v>
      </c>
      <c r="R448" s="160">
        <f t="shared" si="253"/>
        <v>9402.4521992138361</v>
      </c>
      <c r="S448" s="160">
        <f t="shared" si="254"/>
        <v>1.5706899715611025</v>
      </c>
      <c r="T448" s="160" t="str">
        <f t="shared" si="246"/>
        <v>1+6.2683014306908i</v>
      </c>
      <c r="U448" s="160">
        <f t="shared" si="255"/>
        <v>6.3475666854315378</v>
      </c>
      <c r="V448" s="160">
        <f t="shared" si="256"/>
        <v>1.4125965859837082</v>
      </c>
      <c r="W448" s="98" t="str">
        <f t="shared" si="247"/>
        <v>1-0.888009369347865i</v>
      </c>
      <c r="X448" s="160">
        <f t="shared" si="257"/>
        <v>1.3373707937776991</v>
      </c>
      <c r="Y448" s="160">
        <f t="shared" si="258"/>
        <v>-0.72615080824326184</v>
      </c>
      <c r="Z448" s="98" t="str">
        <f t="shared" si="248"/>
        <v>0.716901567606401+1.86544650577358i</v>
      </c>
      <c r="AA448" s="160">
        <f t="shared" si="259"/>
        <v>1.9984590372432893</v>
      </c>
      <c r="AB448" s="160">
        <f t="shared" si="260"/>
        <v>1.203892371384752</v>
      </c>
      <c r="AC448" s="171" t="str">
        <f t="shared" si="261"/>
        <v>-0.0194388205670504-0.0341609986577163i</v>
      </c>
      <c r="AD448" s="190">
        <f t="shared" si="262"/>
        <v>-28.111160514636691</v>
      </c>
      <c r="AE448" s="169">
        <f t="shared" si="263"/>
        <v>-119.64141223321417</v>
      </c>
      <c r="AF448" s="98" t="str">
        <f t="shared" si="249"/>
        <v>-0.0000673063927557778</v>
      </c>
      <c r="AG448" s="98" t="str">
        <f t="shared" si="250"/>
        <v>0.012621851760839i</v>
      </c>
      <c r="AH448" s="98">
        <f t="shared" si="264"/>
        <v>1.2621851760838999E-2</v>
      </c>
      <c r="AI448" s="98">
        <f t="shared" si="265"/>
        <v>1.5707963267948966</v>
      </c>
      <c r="AJ448" s="98" t="str">
        <f t="shared" si="251"/>
        <v>1+12.7009683339384i</v>
      </c>
      <c r="AK448" s="98">
        <f t="shared" si="266"/>
        <v>12.74027458965096</v>
      </c>
      <c r="AL448" s="98">
        <f t="shared" si="267"/>
        <v>1.4922242628468676</v>
      </c>
      <c r="AM448" s="98" t="str">
        <f t="shared" si="252"/>
        <v>1+1880.49042920724i</v>
      </c>
      <c r="AN448" s="98">
        <f t="shared" si="268"/>
        <v>1880.4906950953066</v>
      </c>
      <c r="AO448" s="98">
        <f t="shared" si="269"/>
        <v>1.5702645506740474</v>
      </c>
      <c r="AP448" s="168" t="str">
        <f t="shared" si="270"/>
        <v>-0.0613625761334938+0.784696665535275i</v>
      </c>
      <c r="AQ448" s="98">
        <f t="shared" si="271"/>
        <v>-2.0794871874983452</v>
      </c>
      <c r="AR448" s="169">
        <f t="shared" si="272"/>
        <v>94.471379124483576</v>
      </c>
      <c r="AS448" s="168" t="str">
        <f t="shared" si="273"/>
        <v>0.0279988378450559-0.0131573707999727i</v>
      </c>
      <c r="AT448" s="190">
        <f t="shared" si="274"/>
        <v>-30.190647702135045</v>
      </c>
      <c r="AU448" s="169">
        <f t="shared" si="275"/>
        <v>-25.170033108730664</v>
      </c>
      <c r="AV448" s="225"/>
      <c r="AX448">
        <f t="shared" si="276"/>
        <v>0</v>
      </c>
      <c r="AY448">
        <f t="shared" si="277"/>
        <v>0</v>
      </c>
    </row>
    <row r="449" spans="14:51" x14ac:dyDescent="0.25">
      <c r="N449" s="170">
        <v>31</v>
      </c>
      <c r="O449" s="199">
        <f t="shared" si="278"/>
        <v>204173.79446695308</v>
      </c>
      <c r="P449" s="189" t="str">
        <f t="shared" si="244"/>
        <v>87</v>
      </c>
      <c r="Q449" s="160" t="str">
        <f t="shared" si="245"/>
        <v>1+9621.46339129398i</v>
      </c>
      <c r="R449" s="160">
        <f t="shared" si="253"/>
        <v>9621.4634432611274</v>
      </c>
      <c r="S449" s="160">
        <f t="shared" si="254"/>
        <v>1.570692392501772</v>
      </c>
      <c r="T449" s="160" t="str">
        <f t="shared" si="246"/>
        <v>1+6.4143089275293i</v>
      </c>
      <c r="U449" s="160">
        <f t="shared" si="255"/>
        <v>6.4917916646933511</v>
      </c>
      <c r="V449" s="160">
        <f t="shared" si="256"/>
        <v>1.416139855746664</v>
      </c>
      <c r="W449" s="98" t="str">
        <f t="shared" si="247"/>
        <v>1-0.90869376473332i</v>
      </c>
      <c r="X449" s="160">
        <f t="shared" si="257"/>
        <v>1.3511936789613894</v>
      </c>
      <c r="Y449" s="160">
        <f t="shared" si="258"/>
        <v>-0.73759757610466803</v>
      </c>
      <c r="Z449" s="98" t="str">
        <f t="shared" si="248"/>
        <v>0.703559549532207+1.90889833683272i</v>
      </c>
      <c r="AA449" s="160">
        <f t="shared" si="259"/>
        <v>2.0344259387111356</v>
      </c>
      <c r="AB449" s="160">
        <f t="shared" si="260"/>
        <v>1.2176762335456788</v>
      </c>
      <c r="AC449" s="171" t="str">
        <f t="shared" si="261"/>
        <v>-0.020012110086893-0.0334588072618435i</v>
      </c>
      <c r="AD449" s="190">
        <f t="shared" si="262"/>
        <v>-28.181631740972065</v>
      </c>
      <c r="AE449" s="169">
        <f t="shared" si="263"/>
        <v>-120.88414515453891</v>
      </c>
      <c r="AF449" s="98" t="str">
        <f t="shared" si="249"/>
        <v>-0.0000673063927557778</v>
      </c>
      <c r="AG449" s="98" t="str">
        <f t="shared" si="250"/>
        <v>0.012915852456473i</v>
      </c>
      <c r="AH449" s="98">
        <f t="shared" si="264"/>
        <v>1.2915852456473E-2</v>
      </c>
      <c r="AI449" s="98">
        <f t="shared" si="265"/>
        <v>1.5707963267948966</v>
      </c>
      <c r="AJ449" s="98" t="str">
        <f t="shared" si="251"/>
        <v>1+12.9968118912989i</v>
      </c>
      <c r="AK449" s="98">
        <f t="shared" si="266"/>
        <v>13.03522609461794</v>
      </c>
      <c r="AL449" s="98">
        <f t="shared" si="267"/>
        <v>1.494005677371353</v>
      </c>
      <c r="AM449" s="98" t="str">
        <f t="shared" si="252"/>
        <v>1+1924.29267825879i</v>
      </c>
      <c r="AN449" s="98">
        <f t="shared" si="268"/>
        <v>1924.2929380945059</v>
      </c>
      <c r="AO449" s="98">
        <f t="shared" si="269"/>
        <v>1.5702766553741825</v>
      </c>
      <c r="AP449" s="168" t="str">
        <f t="shared" si="270"/>
        <v>-0.0586170589018331+0.767046034159847i</v>
      </c>
      <c r="AQ449" s="98">
        <f t="shared" si="271"/>
        <v>-2.2782828420340477</v>
      </c>
      <c r="AR449" s="169">
        <f t="shared" si="272"/>
        <v>94.370005138897255</v>
      </c>
      <c r="AS449" s="168" t="str">
        <f t="shared" si="273"/>
        <v>0.0268374964536291-0.013388952801269i</v>
      </c>
      <c r="AT449" s="190">
        <f t="shared" si="274"/>
        <v>-30.459914583006121</v>
      </c>
      <c r="AU449" s="169">
        <f t="shared" si="275"/>
        <v>-26.51414001564169</v>
      </c>
      <c r="AV449" s="225"/>
      <c r="AX449">
        <f t="shared" si="276"/>
        <v>0</v>
      </c>
      <c r="AY449">
        <f t="shared" si="277"/>
        <v>0</v>
      </c>
    </row>
    <row r="450" spans="14:51" x14ac:dyDescent="0.25">
      <c r="N450" s="170">
        <v>32</v>
      </c>
      <c r="O450" s="199">
        <f t="shared" si="278"/>
        <v>208929.61308540447</v>
      </c>
      <c r="P450" s="189" t="str">
        <f t="shared" si="244"/>
        <v>87</v>
      </c>
      <c r="Q450" s="160" t="str">
        <f t="shared" si="245"/>
        <v>1+9845.576063797i</v>
      </c>
      <c r="R450" s="160">
        <f t="shared" si="253"/>
        <v>9845.5761145812285</v>
      </c>
      <c r="S450" s="160">
        <f t="shared" si="254"/>
        <v>1.570694758335105</v>
      </c>
      <c r="T450" s="160" t="str">
        <f t="shared" si="246"/>
        <v>1+6.56371737586465i</v>
      </c>
      <c r="U450" s="160">
        <f t="shared" si="255"/>
        <v>6.6394567390884882</v>
      </c>
      <c r="V450" s="160">
        <f t="shared" si="256"/>
        <v>1.4196062575802153</v>
      </c>
      <c r="W450" s="98" t="str">
        <f t="shared" si="247"/>
        <v>1-0.929859961580827i</v>
      </c>
      <c r="X450" s="160">
        <f t="shared" si="257"/>
        <v>1.3655180511992864</v>
      </c>
      <c r="Y450" s="160">
        <f t="shared" si="258"/>
        <v>-0.74906952771116564</v>
      </c>
      <c r="Z450" s="98" t="str">
        <f t="shared" si="248"/>
        <v>0.689588741518101+1.95336229105732i</v>
      </c>
      <c r="AA450" s="160">
        <f t="shared" si="259"/>
        <v>2.0715107705617224</v>
      </c>
      <c r="AB450" s="160">
        <f t="shared" si="260"/>
        <v>1.2314278016999469</v>
      </c>
      <c r="AC450" s="171" t="str">
        <f t="shared" si="261"/>
        <v>-0.020569044320075-0.0327506524429668i</v>
      </c>
      <c r="AD450" s="190">
        <f t="shared" si="262"/>
        <v>-28.25158171968684</v>
      </c>
      <c r="AE450" s="169">
        <f t="shared" si="263"/>
        <v>-122.13087173840174</v>
      </c>
      <c r="AF450" s="98" t="str">
        <f t="shared" si="249"/>
        <v>-0.0000673063927557778</v>
      </c>
      <c r="AG450" s="98" t="str">
        <f t="shared" si="250"/>
        <v>0.0132167013080411i</v>
      </c>
      <c r="AH450" s="98">
        <f t="shared" si="264"/>
        <v>1.32167013080411E-2</v>
      </c>
      <c r="AI450" s="98">
        <f t="shared" si="265"/>
        <v>1.5707963267948966</v>
      </c>
      <c r="AJ450" s="98" t="str">
        <f t="shared" si="251"/>
        <v>1+13.2995465303575i</v>
      </c>
      <c r="AK450" s="98">
        <f t="shared" si="266"/>
        <v>13.337088809524522</v>
      </c>
      <c r="AL450" s="98">
        <f t="shared" si="267"/>
        <v>1.4957470139544438</v>
      </c>
      <c r="AM450" s="98" t="str">
        <f t="shared" si="252"/>
        <v>1+1969.11521275939i</v>
      </c>
      <c r="AN450" s="98">
        <f t="shared" si="268"/>
        <v>1969.1154666805242</v>
      </c>
      <c r="AO450" s="98">
        <f t="shared" si="269"/>
        <v>1.5702884845378502</v>
      </c>
      <c r="AP450" s="168" t="str">
        <f t="shared" si="270"/>
        <v>-0.0559936881971133+0.749783187410597i</v>
      </c>
      <c r="AQ450" s="98">
        <f t="shared" si="271"/>
        <v>-2.4771323891633914</v>
      </c>
      <c r="AR450" s="169">
        <f t="shared" si="272"/>
        <v>94.270911663127777</v>
      </c>
      <c r="AS450" s="168" t="str">
        <f t="shared" si="273"/>
        <v>0.0257076252326352-0.0135884937911522i</v>
      </c>
      <c r="AT450" s="190">
        <f t="shared" si="274"/>
        <v>-30.72871410885022</v>
      </c>
      <c r="AU450" s="169">
        <f t="shared" si="275"/>
        <v>-27.859960075274017</v>
      </c>
      <c r="AV450" s="225"/>
      <c r="AX450">
        <f t="shared" si="276"/>
        <v>0</v>
      </c>
      <c r="AY450">
        <f t="shared" si="277"/>
        <v>0</v>
      </c>
    </row>
    <row r="451" spans="14:51" x14ac:dyDescent="0.25">
      <c r="N451" s="170">
        <v>33</v>
      </c>
      <c r="O451" s="199">
        <f t="shared" si="278"/>
        <v>213796.20895022334</v>
      </c>
      <c r="P451" s="189" t="str">
        <f t="shared" si="244"/>
        <v>87</v>
      </c>
      <c r="Q451" s="160" t="str">
        <f t="shared" si="245"/>
        <v>1+10074.9089910506i</v>
      </c>
      <c r="R451" s="160">
        <f t="shared" si="253"/>
        <v>10074.90904067884</v>
      </c>
      <c r="S451" s="160">
        <f t="shared" si="254"/>
        <v>1.5706970703154977</v>
      </c>
      <c r="T451" s="160" t="str">
        <f t="shared" si="246"/>
        <v>1+6.7166059940337i</v>
      </c>
      <c r="U451" s="160">
        <f t="shared" si="255"/>
        <v>6.7906403290919064</v>
      </c>
      <c r="V451" s="160">
        <f t="shared" si="256"/>
        <v>1.4229972960284401</v>
      </c>
      <c r="W451" s="98" t="str">
        <f t="shared" si="247"/>
        <v>1-0.95151918248811i</v>
      </c>
      <c r="X451" s="160">
        <f t="shared" si="257"/>
        <v>1.380358197948214</v>
      </c>
      <c r="Y451" s="160">
        <f t="shared" si="258"/>
        <v>-0.76056066846219705</v>
      </c>
      <c r="Z451" s="98" t="str">
        <f t="shared" si="248"/>
        <v>0.674959509607198+1.99886194382443i</v>
      </c>
      <c r="AA451" s="160">
        <f t="shared" si="259"/>
        <v>2.1097439204981177</v>
      </c>
      <c r="AB451" s="160">
        <f t="shared" si="260"/>
        <v>1.2451461581726206</v>
      </c>
      <c r="AC451" s="171" t="str">
        <f t="shared" si="261"/>
        <v>-0.021109395703359-0.0320370575373271i</v>
      </c>
      <c r="AD451" s="190">
        <f t="shared" si="262"/>
        <v>-28.320981962232786</v>
      </c>
      <c r="AE451" s="169">
        <f t="shared" si="263"/>
        <v>-123.38110980843588</v>
      </c>
      <c r="AF451" s="98" t="str">
        <f t="shared" si="249"/>
        <v>-0.0000673063927557778</v>
      </c>
      <c r="AG451" s="98" t="str">
        <f t="shared" si="250"/>
        <v>0.0135245578295863i</v>
      </c>
      <c r="AH451" s="98">
        <f t="shared" si="264"/>
        <v>1.35245578295863E-2</v>
      </c>
      <c r="AI451" s="98">
        <f t="shared" si="265"/>
        <v>1.5707963267948966</v>
      </c>
      <c r="AJ451" s="98" t="str">
        <f t="shared" si="251"/>
        <v>1+13.6093327650266i</v>
      </c>
      <c r="AK451" s="98">
        <f t="shared" si="266"/>
        <v>13.646022801872586</v>
      </c>
      <c r="AL451" s="98">
        <f t="shared" si="267"/>
        <v>1.4974491536108305</v>
      </c>
      <c r="AM451" s="98" t="str">
        <f t="shared" si="252"/>
        <v>1+2014.98179821011i</v>
      </c>
      <c r="AN451" s="98">
        <f t="shared" si="268"/>
        <v>2014.9820463512938</v>
      </c>
      <c r="AO451" s="98">
        <f t="shared" si="269"/>
        <v>1.5703000444370165</v>
      </c>
      <c r="AP451" s="168" t="str">
        <f t="shared" si="270"/>
        <v>-0.0534870906178592+0.732900220638166i</v>
      </c>
      <c r="AQ451" s="98">
        <f t="shared" si="271"/>
        <v>-2.676033430610969</v>
      </c>
      <c r="AR451" s="169">
        <f t="shared" si="272"/>
        <v>94.174048578108781</v>
      </c>
      <c r="AS451" s="168" t="str">
        <f t="shared" si="273"/>
        <v>0.0246090466985785-0.0137575117689016i</v>
      </c>
      <c r="AT451" s="190">
        <f t="shared" si="274"/>
        <v>-30.997015392843746</v>
      </c>
      <c r="AU451" s="169">
        <f t="shared" si="275"/>
        <v>-29.207061230327103</v>
      </c>
      <c r="AV451" s="225"/>
      <c r="AX451">
        <f t="shared" si="276"/>
        <v>0</v>
      </c>
      <c r="AY451">
        <f t="shared" si="277"/>
        <v>0</v>
      </c>
    </row>
    <row r="452" spans="14:51" x14ac:dyDescent="0.25">
      <c r="N452" s="170">
        <v>34</v>
      </c>
      <c r="O452" s="199">
        <f t="shared" si="278"/>
        <v>218776.16239495538</v>
      </c>
      <c r="P452" s="189" t="str">
        <f t="shared" si="244"/>
        <v>87</v>
      </c>
      <c r="Q452" s="160" t="str">
        <f t="shared" si="245"/>
        <v>1+10309.5837684084i</v>
      </c>
      <c r="R452" s="160">
        <f t="shared" si="253"/>
        <v>10309.583816906963</v>
      </c>
      <c r="S452" s="160">
        <f t="shared" si="254"/>
        <v>1.5706993296687926</v>
      </c>
      <c r="T452" s="160" t="str">
        <f t="shared" si="246"/>
        <v>1+6.8730558456056i</v>
      </c>
      <c r="U452" s="160">
        <f t="shared" si="255"/>
        <v>6.9454227126081607</v>
      </c>
      <c r="V452" s="160">
        <f t="shared" si="256"/>
        <v>1.4263144569512911</v>
      </c>
      <c r="W452" s="98" t="str">
        <f t="shared" si="247"/>
        <v>1-0.973682911460795i</v>
      </c>
      <c r="X452" s="160">
        <f t="shared" si="257"/>
        <v>1.3957286312427537</v>
      </c>
      <c r="Y452" s="160">
        <f t="shared" si="258"/>
        <v>-0.77206495325231439</v>
      </c>
      <c r="Z452" s="98" t="str">
        <f t="shared" si="248"/>
        <v>0.659640823237233+2.04542141965223i</v>
      </c>
      <c r="AA452" s="160">
        <f t="shared" si="259"/>
        <v>2.1491567647924708</v>
      </c>
      <c r="AB452" s="160">
        <f t="shared" si="260"/>
        <v>1.258830610010321</v>
      </c>
      <c r="AC452" s="171" t="str">
        <f t="shared" si="261"/>
        <v>-0.0216329697836671-0.0313185432394779i</v>
      </c>
      <c r="AD452" s="190">
        <f t="shared" si="262"/>
        <v>-28.389806118532654</v>
      </c>
      <c r="AE452" s="169">
        <f t="shared" si="263"/>
        <v>-124.63438823903952</v>
      </c>
      <c r="AF452" s="98" t="str">
        <f t="shared" si="249"/>
        <v>-0.0000673063927557778</v>
      </c>
      <c r="AG452" s="98" t="str">
        <f t="shared" si="250"/>
        <v>0.0138395852507114i</v>
      </c>
      <c r="AH452" s="98">
        <f t="shared" si="264"/>
        <v>1.3839585250711399E-2</v>
      </c>
      <c r="AI452" s="98">
        <f t="shared" si="265"/>
        <v>1.5707963267948966</v>
      </c>
      <c r="AJ452" s="98" t="str">
        <f t="shared" si="251"/>
        <v>1+13.9263348480686i</v>
      </c>
      <c r="AK452" s="98">
        <f t="shared" si="266"/>
        <v>13.962191887398262</v>
      </c>
      <c r="AL452" s="98">
        <f t="shared" si="267"/>
        <v>1.4991129593628045</v>
      </c>
      <c r="AM452" s="98" t="str">
        <f t="shared" si="252"/>
        <v>1+2061.91675368168i</v>
      </c>
      <c r="AN452" s="98">
        <f t="shared" si="268"/>
        <v>2061.9169961744815</v>
      </c>
      <c r="AO452" s="98">
        <f t="shared" si="269"/>
        <v>1.5703113412008805</v>
      </c>
      <c r="AP452" s="168" t="str">
        <f t="shared" si="270"/>
        <v>-0.0510921238184493+0.716389348803386i</v>
      </c>
      <c r="AQ452" s="98">
        <f t="shared" si="271"/>
        <v>-2.8749836736601257</v>
      </c>
      <c r="AR452" s="169">
        <f t="shared" si="272"/>
        <v>94.079366787482627</v>
      </c>
      <c r="AS452" s="168" t="str">
        <f t="shared" si="273"/>
        <v>0.0235415451675481-0.0138974982469997i</v>
      </c>
      <c r="AT452" s="190">
        <f t="shared" si="274"/>
        <v>-31.264789792192801</v>
      </c>
      <c r="AU452" s="169">
        <f t="shared" si="275"/>
        <v>-30.555021451556904</v>
      </c>
      <c r="AV452" s="225"/>
      <c r="AX452">
        <f t="shared" si="276"/>
        <v>0</v>
      </c>
      <c r="AY452">
        <f t="shared" si="277"/>
        <v>0</v>
      </c>
    </row>
    <row r="453" spans="14:51" x14ac:dyDescent="0.25">
      <c r="N453" s="170">
        <v>35</v>
      </c>
      <c r="O453" s="199">
        <f t="shared" si="278"/>
        <v>223872.11385683404</v>
      </c>
      <c r="P453" s="189" t="str">
        <f t="shared" si="244"/>
        <v>87</v>
      </c>
      <c r="Q453" s="160" t="str">
        <f t="shared" si="245"/>
        <v>1+10549.7248235438i</v>
      </c>
      <c r="R453" s="160">
        <f t="shared" si="253"/>
        <v>10549.7248709384</v>
      </c>
      <c r="S453" s="160">
        <f t="shared" si="254"/>
        <v>1.5707015375929287</v>
      </c>
      <c r="T453" s="160" t="str">
        <f t="shared" si="246"/>
        <v>1+7.0331498823625i</v>
      </c>
      <c r="U453" s="160">
        <f t="shared" si="255"/>
        <v>7.1038860680458304</v>
      </c>
      <c r="V453" s="160">
        <f t="shared" si="256"/>
        <v>1.4295592069951757</v>
      </c>
      <c r="W453" s="98" t="str">
        <f t="shared" si="247"/>
        <v>1-0.996362900001356i</v>
      </c>
      <c r="X453" s="160">
        <f t="shared" si="257"/>
        <v>1.4116440870485423</v>
      </c>
      <c r="Y453" s="160">
        <f t="shared" si="258"/>
        <v>-0.78357630226459518</v>
      </c>
      <c r="Z453" s="98" t="str">
        <f t="shared" si="248"/>
        <v>0.643600189420601+2.09306540499108i</v>
      </c>
      <c r="AA453" s="160">
        <f t="shared" si="259"/>
        <v>2.1897817227734611</v>
      </c>
      <c r="AB453" s="160">
        <f t="shared" si="260"/>
        <v>1.2724806852780643</v>
      </c>
      <c r="AC453" s="171" t="str">
        <f t="shared" si="261"/>
        <v>-0.0221396038144501-0.0305956256379294i</v>
      </c>
      <c r="AD453" s="190">
        <f t="shared" si="262"/>
        <v>-28.458030133569025</v>
      </c>
      <c r="AE453" s="169">
        <f t="shared" si="263"/>
        <v>-125.89024767846783</v>
      </c>
      <c r="AF453" s="98" t="str">
        <f t="shared" si="249"/>
        <v>-0.0000673063927557778</v>
      </c>
      <c r="AG453" s="98" t="str">
        <f t="shared" si="250"/>
        <v>0.0141619506031251i</v>
      </c>
      <c r="AH453" s="98">
        <f t="shared" si="264"/>
        <v>1.41619506031251E-2</v>
      </c>
      <c r="AI453" s="98">
        <f t="shared" si="265"/>
        <v>1.5707963267948966</v>
      </c>
      <c r="AJ453" s="98" t="str">
        <f t="shared" si="251"/>
        <v>1+14.2507208581838i</v>
      </c>
      <c r="AK453" s="98">
        <f t="shared" si="266"/>
        <v>14.285763716997243</v>
      </c>
      <c r="AL453" s="98">
        <f t="shared" si="267"/>
        <v>1.500739276514903</v>
      </c>
      <c r="AM453" s="98" t="str">
        <f t="shared" si="252"/>
        <v>1+2109.94496470875i</v>
      </c>
      <c r="AN453" s="98">
        <f t="shared" si="268"/>
        <v>2109.9452016817422</v>
      </c>
      <c r="AO453" s="98">
        <f t="shared" si="269"/>
        <v>1.5703223808191242</v>
      </c>
      <c r="AP453" s="168" t="str">
        <f t="shared" si="270"/>
        <v>-0.048803867042134+0.700242907647112i</v>
      </c>
      <c r="AQ453" s="98">
        <f t="shared" si="271"/>
        <v>-3.0739809266087721</v>
      </c>
      <c r="AR453" s="169">
        <f t="shared" si="272"/>
        <v>93.986818202050472</v>
      </c>
      <c r="AS453" s="168" t="str">
        <f t="shared" si="273"/>
        <v>0.0225048681389122-0.0140099157034812i</v>
      </c>
      <c r="AT453" s="190">
        <f t="shared" si="274"/>
        <v>-31.532011060177783</v>
      </c>
      <c r="AU453" s="169">
        <f t="shared" si="275"/>
        <v>-31.90342947641728</v>
      </c>
      <c r="AV453" s="225"/>
      <c r="AX453">
        <f t="shared" si="276"/>
        <v>0</v>
      </c>
      <c r="AY453">
        <f t="shared" si="277"/>
        <v>0</v>
      </c>
    </row>
    <row r="454" spans="14:51" x14ac:dyDescent="0.25">
      <c r="N454" s="170">
        <v>36</v>
      </c>
      <c r="O454" s="199">
        <f t="shared" si="278"/>
        <v>229086.76527677779</v>
      </c>
      <c r="P454" s="189" t="str">
        <f t="shared" si="244"/>
        <v>87</v>
      </c>
      <c r="Q454" s="160" t="str">
        <f t="shared" si="245"/>
        <v>1+10795.4594824227i</v>
      </c>
      <c r="R454" s="160">
        <f t="shared" si="253"/>
        <v>10795.459528738469</v>
      </c>
      <c r="S454" s="160">
        <f t="shared" si="254"/>
        <v>1.5707036952585764</v>
      </c>
      <c r="T454" s="160" t="str">
        <f t="shared" si="246"/>
        <v>1+7.19697298828175i</v>
      </c>
      <c r="U454" s="160">
        <f t="shared" si="255"/>
        <v>7.2661145183693003</v>
      </c>
      <c r="V454" s="160">
        <f t="shared" si="256"/>
        <v>1.4327329931306212</v>
      </c>
      <c r="W454" s="98" t="str">
        <f t="shared" si="247"/>
        <v>1-1.01957117333992i</v>
      </c>
      <c r="X454" s="160">
        <f t="shared" si="257"/>
        <v>1.4281195249368104</v>
      </c>
      <c r="Y454" s="160">
        <f t="shared" si="258"/>
        <v>-0.79508861698720112</v>
      </c>
      <c r="Z454" s="98" t="str">
        <f t="shared" si="248"/>
        <v>0.626803583822379+2.14181916131265i</v>
      </c>
      <c r="AA454" s="160">
        <f t="shared" si="259"/>
        <v>2.2316523144205505</v>
      </c>
      <c r="AB454" s="160">
        <f t="shared" si="260"/>
        <v>1.2860961286023833</v>
      </c>
      <c r="AC454" s="171" t="str">
        <f t="shared" si="261"/>
        <v>-0.0226291652442597-0.029868814429238i</v>
      </c>
      <c r="AD454" s="190">
        <f t="shared" si="262"/>
        <v>-28.525632389801064</v>
      </c>
      <c r="AE454" s="169">
        <f t="shared" si="263"/>
        <v>-127.14824123767964</v>
      </c>
      <c r="AF454" s="98" t="str">
        <f t="shared" si="249"/>
        <v>-0.0000673063927557778</v>
      </c>
      <c r="AG454" s="98" t="str">
        <f t="shared" si="250"/>
        <v>0.0144918248092041i</v>
      </c>
      <c r="AH454" s="98">
        <f t="shared" si="264"/>
        <v>1.44918248092041E-2</v>
      </c>
      <c r="AI454" s="98">
        <f t="shared" si="265"/>
        <v>1.5707963267948966</v>
      </c>
      <c r="AJ454" s="98" t="str">
        <f t="shared" si="251"/>
        <v>1+14.5826627891287i</v>
      </c>
      <c r="AK454" s="98">
        <f t="shared" si="266"/>
        <v>14.616909865680872</v>
      </c>
      <c r="AL454" s="98">
        <f t="shared" si="267"/>
        <v>1.5023289329310261</v>
      </c>
      <c r="AM454" s="98" t="str">
        <f t="shared" si="252"/>
        <v>1+2159.09189648452i</v>
      </c>
      <c r="AN454" s="98">
        <f t="shared" si="268"/>
        <v>2159.0921280633493</v>
      </c>
      <c r="AO454" s="98">
        <f t="shared" si="269"/>
        <v>1.5703331691450888</v>
      </c>
      <c r="AP454" s="168" t="str">
        <f t="shared" si="270"/>
        <v>-0.0466176120002601+0.684453354587941i</v>
      </c>
      <c r="AQ454" s="98">
        <f t="shared" si="271"/>
        <v>-3.2730230944114931</v>
      </c>
      <c r="AR454" s="169">
        <f t="shared" si="272"/>
        <v>93.896355724076486</v>
      </c>
      <c r="AS454" s="168" t="str">
        <f t="shared" si="273"/>
        <v>0.0214987278789033-0.0140961952609884i</v>
      </c>
      <c r="AT454" s="190">
        <f t="shared" si="274"/>
        <v>-31.798655484212563</v>
      </c>
      <c r="AU454" s="169">
        <f t="shared" si="275"/>
        <v>-33.251885513603177</v>
      </c>
      <c r="AV454" s="225"/>
      <c r="AX454">
        <f t="shared" si="276"/>
        <v>0</v>
      </c>
      <c r="AY454">
        <f t="shared" si="277"/>
        <v>0</v>
      </c>
    </row>
    <row r="455" spans="14:51" x14ac:dyDescent="0.25">
      <c r="N455" s="170">
        <v>37</v>
      </c>
      <c r="O455" s="199">
        <f t="shared" si="278"/>
        <v>234422.88153199267</v>
      </c>
      <c r="P455" s="189" t="str">
        <f t="shared" si="244"/>
        <v>87</v>
      </c>
      <c r="Q455" s="160" t="str">
        <f t="shared" si="245"/>
        <v>1+11046.9180368139i</v>
      </c>
      <c r="R455" s="160">
        <f t="shared" si="253"/>
        <v>11046.918082075394</v>
      </c>
      <c r="S455" s="160">
        <f t="shared" si="254"/>
        <v>1.5707058038097585</v>
      </c>
      <c r="T455" s="160" t="str">
        <f t="shared" si="246"/>
        <v>1+7.3646120245426i</v>
      </c>
      <c r="U455" s="160">
        <f t="shared" si="255"/>
        <v>7.432194176152656</v>
      </c>
      <c r="V455" s="160">
        <f t="shared" si="256"/>
        <v>1.4358372422526975</v>
      </c>
      <c r="W455" s="98" t="str">
        <f t="shared" si="247"/>
        <v>1-1.0433200368102i</v>
      </c>
      <c r="X455" s="160">
        <f t="shared" si="257"/>
        <v>1.445170128119744</v>
      </c>
      <c r="Y455" s="160">
        <f t="shared" si="258"/>
        <v>-0.80659579635047496</v>
      </c>
      <c r="Z455" s="98" t="str">
        <f t="shared" si="248"/>
        <v>0.609215378590129+2.19170853850388i</v>
      </c>
      <c r="AA455" s="160">
        <f t="shared" si="259"/>
        <v>2.2748032212175029</v>
      </c>
      <c r="AB455" s="160">
        <f t="shared" si="260"/>
        <v>1.2996768960092058</v>
      </c>
      <c r="AC455" s="171" t="str">
        <f t="shared" si="261"/>
        <v>-0.0231015501168919-0.0291386113141385i</v>
      </c>
      <c r="AD455" s="190">
        <f t="shared" si="262"/>
        <v>-28.592593834934949</v>
      </c>
      <c r="AE455" s="169">
        <f t="shared" si="263"/>
        <v>-128.40793514208647</v>
      </c>
      <c r="AF455" s="98" t="str">
        <f t="shared" si="249"/>
        <v>-0.0000673063927557778</v>
      </c>
      <c r="AG455" s="98" t="str">
        <f t="shared" si="250"/>
        <v>0.014829382772619i</v>
      </c>
      <c r="AH455" s="98">
        <f t="shared" si="264"/>
        <v>1.4829382772619E-2</v>
      </c>
      <c r="AI455" s="98">
        <f t="shared" si="265"/>
        <v>1.5707963267948966</v>
      </c>
      <c r="AJ455" s="98" t="str">
        <f t="shared" si="251"/>
        <v>1+14.9223366409087i</v>
      </c>
      <c r="AK455" s="98">
        <f t="shared" si="266"/>
        <v>14.95580592360727</v>
      </c>
      <c r="AL455" s="98">
        <f t="shared" si="267"/>
        <v>1.5038827393134011</v>
      </c>
      <c r="AM455" s="98" t="str">
        <f t="shared" si="252"/>
        <v>1+2209.38360736278i</v>
      </c>
      <c r="AN455" s="98">
        <f t="shared" si="268"/>
        <v>2209.383833670232</v>
      </c>
      <c r="AO455" s="98">
        <f t="shared" si="269"/>
        <v>1.5703437118988772</v>
      </c>
      <c r="AP455" s="168" t="str">
        <f t="shared" si="270"/>
        <v>-0.0445288540888796+0.669013269368737i</v>
      </c>
      <c r="AQ455" s="98">
        <f t="shared" si="271"/>
        <v>-3.4721081745029303</v>
      </c>
      <c r="AR455" s="169">
        <f t="shared" si="272"/>
        <v>93.807933231482451</v>
      </c>
      <c r="AS455" s="168" t="str">
        <f t="shared" si="273"/>
        <v>0.0205228031745187-0.0141577345996277i</v>
      </c>
      <c r="AT455" s="190">
        <f t="shared" si="274"/>
        <v>-32.06470200943788</v>
      </c>
      <c r="AU455" s="169">
        <f t="shared" si="275"/>
        <v>-34.600001910603957</v>
      </c>
      <c r="AV455" s="225"/>
      <c r="AX455">
        <f t="shared" si="276"/>
        <v>0</v>
      </c>
      <c r="AY455">
        <f t="shared" si="277"/>
        <v>0</v>
      </c>
    </row>
    <row r="456" spans="14:51" x14ac:dyDescent="0.25">
      <c r="N456" s="170">
        <v>38</v>
      </c>
      <c r="O456" s="199">
        <f t="shared" si="278"/>
        <v>239883.29190194907</v>
      </c>
      <c r="P456" s="189" t="str">
        <f t="shared" si="244"/>
        <v>87</v>
      </c>
      <c r="Q456" s="160" t="str">
        <f t="shared" si="245"/>
        <v>1+11304.2338133715i</v>
      </c>
      <c r="R456" s="160">
        <f t="shared" si="253"/>
        <v>11304.233857602714</v>
      </c>
      <c r="S456" s="160">
        <f t="shared" si="254"/>
        <v>1.5707078643644568</v>
      </c>
      <c r="T456" s="160" t="str">
        <f t="shared" si="246"/>
        <v>1+7.536155875581i</v>
      </c>
      <c r="U456" s="160">
        <f t="shared" si="255"/>
        <v>7.6022131896608913</v>
      </c>
      <c r="V456" s="160">
        <f t="shared" si="256"/>
        <v>1.4388733608400732</v>
      </c>
      <c r="W456" s="98" t="str">
        <f t="shared" si="247"/>
        <v>1-1.06762208237398i</v>
      </c>
      <c r="X456" s="160">
        <f t="shared" si="257"/>
        <v>1.4628113038845965</v>
      </c>
      <c r="Y456" s="160">
        <f t="shared" si="258"/>
        <v>-0.81809175288056812</v>
      </c>
      <c r="Z456" s="98" t="str">
        <f t="shared" si="248"/>
        <v>0.590798266782464+2.24275998857291i</v>
      </c>
      <c r="AA456" s="160">
        <f t="shared" si="259"/>
        <v>2.3192703504284973</v>
      </c>
      <c r="AB456" s="160">
        <f t="shared" si="260"/>
        <v>1.3132231491055772</v>
      </c>
      <c r="AC456" s="171" t="str">
        <f t="shared" si="261"/>
        <v>-0.0235566814020307-0.0284055085773243i</v>
      </c>
      <c r="AD456" s="190">
        <f t="shared" si="262"/>
        <v>-28.6588980947162</v>
      </c>
      <c r="AE456" s="169">
        <f t="shared" si="263"/>
        <v>-129.66890934329459</v>
      </c>
      <c r="AF456" s="98" t="str">
        <f t="shared" si="249"/>
        <v>-0.0000673063927557778</v>
      </c>
      <c r="AG456" s="98" t="str">
        <f t="shared" si="250"/>
        <v>0.0151748034710699i</v>
      </c>
      <c r="AH456" s="98">
        <f t="shared" si="264"/>
        <v>1.5174803471069901E-2</v>
      </c>
      <c r="AI456" s="98">
        <f t="shared" si="265"/>
        <v>1.5707963267948966</v>
      </c>
      <c r="AJ456" s="98" t="str">
        <f t="shared" si="251"/>
        <v>1+15.2699225130962i</v>
      </c>
      <c r="AK456" s="98">
        <f t="shared" si="266"/>
        <v>15.302631589238571</v>
      </c>
      <c r="AL456" s="98">
        <f t="shared" si="267"/>
        <v>1.5054014894828447</v>
      </c>
      <c r="AM456" s="98" t="str">
        <f t="shared" si="252"/>
        <v>1+2260.8467626743i</v>
      </c>
      <c r="AN456" s="98">
        <f t="shared" si="268"/>
        <v>2260.8469838303658</v>
      </c>
      <c r="AO456" s="98">
        <f t="shared" si="269"/>
        <v>1.570354014670388</v>
      </c>
      <c r="AP456" s="168" t="str">
        <f t="shared" si="270"/>
        <v>-0.0425332839337525+0.653915354471941i</v>
      </c>
      <c r="AQ456" s="98">
        <f t="shared" si="271"/>
        <v>-3.671234252792877</v>
      </c>
      <c r="AR456" s="169">
        <f t="shared" si="272"/>
        <v>93.721505561963397</v>
      </c>
      <c r="AS456" s="168" t="str">
        <f t="shared" si="273"/>
        <v>0.0195767412289063-0.0141958961075895i</v>
      </c>
      <c r="AT456" s="190">
        <f t="shared" si="274"/>
        <v>-32.330132347509078</v>
      </c>
      <c r="AU456" s="169">
        <f t="shared" si="275"/>
        <v>-35.947403781331154</v>
      </c>
      <c r="AV456" s="225"/>
      <c r="AX456">
        <f t="shared" si="276"/>
        <v>0</v>
      </c>
      <c r="AY456">
        <f t="shared" si="277"/>
        <v>0</v>
      </c>
    </row>
    <row r="457" spans="14:51" x14ac:dyDescent="0.25">
      <c r="N457" s="170">
        <v>39</v>
      </c>
      <c r="O457" s="199">
        <f t="shared" si="278"/>
        <v>245470.89156850305</v>
      </c>
      <c r="P457" s="189" t="str">
        <f t="shared" si="244"/>
        <v>87</v>
      </c>
      <c r="Q457" s="160" t="str">
        <f t="shared" si="245"/>
        <v>1+11567.5432443262i</v>
      </c>
      <c r="R457" s="160">
        <f t="shared" si="253"/>
        <v>11567.543287550589</v>
      </c>
      <c r="S457" s="160">
        <f t="shared" si="254"/>
        <v>1.5707098780152045</v>
      </c>
      <c r="T457" s="160" t="str">
        <f t="shared" si="246"/>
        <v>1+7.71169549621745i</v>
      </c>
      <c r="U457" s="160">
        <f t="shared" si="255"/>
        <v>7.7762617899849857</v>
      </c>
      <c r="V457" s="160">
        <f t="shared" si="256"/>
        <v>1.4418427346687916</v>
      </c>
      <c r="W457" s="98" t="str">
        <f t="shared" si="247"/>
        <v>1-1.09249019529747i</v>
      </c>
      <c r="X457" s="160">
        <f t="shared" si="257"/>
        <v>1.4810586844622682</v>
      </c>
      <c r="Y457" s="160">
        <f t="shared" si="258"/>
        <v>-0.82957042876530329</v>
      </c>
      <c r="Z457" s="98" t="str">
        <f t="shared" si="248"/>
        <v>0.571513183236011+2.29500057967431i</v>
      </c>
      <c r="AA457" s="160">
        <f t="shared" si="259"/>
        <v>2.3650909029713798</v>
      </c>
      <c r="AB457" s="160">
        <f t="shared" si="260"/>
        <v>1.3267352486544115</v>
      </c>
      <c r="AC457" s="171" t="str">
        <f t="shared" si="261"/>
        <v>-0.0239945072746998-0.02766998785065i</v>
      </c>
      <c r="AD457" s="190">
        <f t="shared" si="262"/>
        <v>-28.724531570550958</v>
      </c>
      <c r="AE457" s="169">
        <f t="shared" si="263"/>
        <v>-130.93075808790442</v>
      </c>
      <c r="AF457" s="98" t="str">
        <f t="shared" si="249"/>
        <v>-0.0000673063927557778</v>
      </c>
      <c r="AG457" s="98" t="str">
        <f t="shared" si="250"/>
        <v>0.0155282700511835i</v>
      </c>
      <c r="AH457" s="98">
        <f t="shared" si="264"/>
        <v>1.55282700511835E-2</v>
      </c>
      <c r="AI457" s="98">
        <f t="shared" si="265"/>
        <v>1.5707963267948966</v>
      </c>
      <c r="AJ457" s="98" t="str">
        <f t="shared" si="251"/>
        <v>1+15.6256047003214i</v>
      </c>
      <c r="AK457" s="98">
        <f t="shared" si="266"/>
        <v>15.657570764671837</v>
      </c>
      <c r="AL457" s="98">
        <f t="shared" si="267"/>
        <v>1.5068859606598042</v>
      </c>
      <c r="AM457" s="98" t="str">
        <f t="shared" si="252"/>
        <v>1+2313.50864886523i</v>
      </c>
      <c r="AN457" s="98">
        <f t="shared" si="268"/>
        <v>2313.50886498717</v>
      </c>
      <c r="AO457" s="98">
        <f t="shared" si="269"/>
        <v>1.5703640829222782</v>
      </c>
      <c r="AP457" s="168" t="str">
        <f t="shared" si="270"/>
        <v>-0.0406267792546465+0.639152435322008i</v>
      </c>
      <c r="AQ457" s="98">
        <f t="shared" si="271"/>
        <v>-3.8703994998287166</v>
      </c>
      <c r="AR457" s="169">
        <f t="shared" si="272"/>
        <v>93.637028497055184</v>
      </c>
      <c r="AS457" s="168" t="str">
        <f t="shared" si="273"/>
        <v>0.0186601596704466-0.0142120052705889i</v>
      </c>
      <c r="AT457" s="190">
        <f t="shared" si="274"/>
        <v>-32.594931070379666</v>
      </c>
      <c r="AU457" s="169">
        <f t="shared" si="275"/>
        <v>-37.293729590849161</v>
      </c>
      <c r="AV457" s="225"/>
      <c r="AX457">
        <f t="shared" si="276"/>
        <v>0</v>
      </c>
      <c r="AY457">
        <f t="shared" si="277"/>
        <v>0</v>
      </c>
    </row>
    <row r="458" spans="14:51" x14ac:dyDescent="0.25">
      <c r="N458" s="170">
        <v>40</v>
      </c>
      <c r="O458" s="199">
        <f t="shared" si="278"/>
        <v>251188.64315095844</v>
      </c>
      <c r="P458" s="189" t="str">
        <f t="shared" si="244"/>
        <v>87</v>
      </c>
      <c r="Q458" s="160" t="str">
        <f t="shared" si="245"/>
        <v>1+11836.9859398236i</v>
      </c>
      <c r="R458" s="160">
        <f t="shared" si="253"/>
        <v>11836.985982064083</v>
      </c>
      <c r="S458" s="160">
        <f t="shared" si="254"/>
        <v>1.5707118458296656</v>
      </c>
      <c r="T458" s="160" t="str">
        <f t="shared" si="246"/>
        <v>1+7.8913239598824i</v>
      </c>
      <c r="U458" s="160">
        <f t="shared" si="255"/>
        <v>7.9544323392567771</v>
      </c>
      <c r="V458" s="160">
        <f t="shared" si="256"/>
        <v>1.4447467285770232</v>
      </c>
      <c r="W458" s="98" t="str">
        <f t="shared" si="247"/>
        <v>1-1.11793756098334i</v>
      </c>
      <c r="X458" s="160">
        <f t="shared" si="257"/>
        <v>1.499928128363949</v>
      </c>
      <c r="Y458" s="160">
        <f t="shared" si="258"/>
        <v>-0.84102581172922508</v>
      </c>
      <c r="Z458" s="98" t="str">
        <f t="shared" si="248"/>
        <v>0.55131922170297+2.348458010461i</v>
      </c>
      <c r="AA458" s="160">
        <f t="shared" si="259"/>
        <v>2.4123034450743561</v>
      </c>
      <c r="AB458" s="160">
        <f t="shared" si="260"/>
        <v>1.340213747590862</v>
      </c>
      <c r="AC458" s="171" t="str">
        <f t="shared" si="261"/>
        <v>-0.0244149993610587-0.0269325190578476i</v>
      </c>
      <c r="AD458" s="190">
        <f t="shared" si="262"/>
        <v>-28.789483521900031</v>
      </c>
      <c r="AE458" s="169">
        <f t="shared" si="263"/>
        <v>-132.19309044046355</v>
      </c>
      <c r="AF458" s="98" t="str">
        <f t="shared" si="249"/>
        <v>-0.0000673063927557778</v>
      </c>
      <c r="AG458" s="98" t="str">
        <f t="shared" si="250"/>
        <v>0.0158899699256192i</v>
      </c>
      <c r="AH458" s="98">
        <f t="shared" si="264"/>
        <v>1.58899699256192E-2</v>
      </c>
      <c r="AI458" s="98">
        <f t="shared" si="265"/>
        <v>1.5707963267948966</v>
      </c>
      <c r="AJ458" s="98" t="str">
        <f t="shared" si="251"/>
        <v>1+15.9895717899882i</v>
      </c>
      <c r="AK458" s="98">
        <f t="shared" si="266"/>
        <v>16.02081165319618</v>
      </c>
      <c r="AL458" s="98">
        <f t="shared" si="267"/>
        <v>1.5083369137457068</v>
      </c>
      <c r="AM458" s="98" t="str">
        <f t="shared" si="252"/>
        <v>1+2367.39718796472i</v>
      </c>
      <c r="AN458" s="98">
        <f t="shared" si="268"/>
        <v>2367.3973991671246</v>
      </c>
      <c r="AO458" s="98">
        <f t="shared" si="269"/>
        <v>1.5703739219928599</v>
      </c>
      <c r="AP458" s="168" t="str">
        <f t="shared" si="270"/>
        <v>-0.0388053970397633+0.624717460292395i</v>
      </c>
      <c r="AQ458" s="98">
        <f t="shared" si="271"/>
        <v>-4.0696021671175906</v>
      </c>
      <c r="AR458" s="169">
        <f t="shared" si="272"/>
        <v>93.554458746180146</v>
      </c>
      <c r="AS458" s="168" t="str">
        <f t="shared" si="273"/>
        <v>0.0177726486490265-0.0142073492985603i</v>
      </c>
      <c r="AT458" s="190">
        <f t="shared" si="274"/>
        <v>-32.859085689017625</v>
      </c>
      <c r="AU458" s="169">
        <f t="shared" si="275"/>
        <v>-38.638631694283497</v>
      </c>
      <c r="AV458" s="225"/>
      <c r="AX458">
        <f t="shared" si="276"/>
        <v>0</v>
      </c>
      <c r="AY458">
        <f t="shared" si="277"/>
        <v>0</v>
      </c>
    </row>
    <row r="459" spans="14:51" x14ac:dyDescent="0.25">
      <c r="N459" s="170">
        <v>41</v>
      </c>
      <c r="O459" s="199">
        <f t="shared" si="278"/>
        <v>257039.57827688678</v>
      </c>
      <c r="P459" s="189" t="str">
        <f t="shared" si="244"/>
        <v>87</v>
      </c>
      <c r="Q459" s="160" t="str">
        <f t="shared" si="245"/>
        <v>1+12112.7047619473i</v>
      </c>
      <c r="R459" s="160">
        <f t="shared" si="253"/>
        <v>12112.704803226272</v>
      </c>
      <c r="S459" s="160">
        <f t="shared" si="254"/>
        <v>1.5707137688512018</v>
      </c>
      <c r="T459" s="160" t="str">
        <f t="shared" si="246"/>
        <v>1+8.07513650796485i</v>
      </c>
      <c r="U459" s="160">
        <f t="shared" si="255"/>
        <v>8.1368193799706976</v>
      </c>
      <c r="V459" s="160">
        <f t="shared" si="256"/>
        <v>1.4475866862772462</v>
      </c>
      <c r="W459" s="98" t="str">
        <f t="shared" si="247"/>
        <v>1-1.14397767196169i</v>
      </c>
      <c r="X459" s="160">
        <f t="shared" si="257"/>
        <v>1.5194357222162733</v>
      </c>
      <c r="Y459" s="160">
        <f t="shared" si="258"/>
        <v>-0.85245195061677059</v>
      </c>
      <c r="Z459" s="98" t="str">
        <f t="shared" si="248"/>
        <v>0.530173548083485+2.40316062477034i</v>
      </c>
      <c r="AA459" s="160">
        <f t="shared" si="259"/>
        <v>2.4609479839147359</v>
      </c>
      <c r="AB459" s="160">
        <f t="shared" si="260"/>
        <v>1.3536593835279644</v>
      </c>
      <c r="AC459" s="171" t="str">
        <f t="shared" si="261"/>
        <v>-0.0248181509671628-0.0261935595373405i</v>
      </c>
      <c r="AD459" s="190">
        <f t="shared" si="262"/>
        <v>-28.853746133522769</v>
      </c>
      <c r="AE459" s="169">
        <f t="shared" si="263"/>
        <v>-133.45553075771511</v>
      </c>
      <c r="AF459" s="98" t="str">
        <f t="shared" si="249"/>
        <v>-0.0000673063927557778</v>
      </c>
      <c r="AG459" s="98" t="str">
        <f t="shared" si="250"/>
        <v>0.016260094872438i</v>
      </c>
      <c r="AH459" s="98">
        <f t="shared" si="264"/>
        <v>1.6260094872438E-2</v>
      </c>
      <c r="AI459" s="98">
        <f t="shared" si="265"/>
        <v>1.5707963267948966</v>
      </c>
      <c r="AJ459" s="98" t="str">
        <f t="shared" si="251"/>
        <v>1+16.3620167622649i</v>
      </c>
      <c r="AK459" s="98">
        <f t="shared" si="266"/>
        <v>16.392546859125876</v>
      </c>
      <c r="AL459" s="98">
        <f t="shared" si="267"/>
        <v>1.509755093604177</v>
      </c>
      <c r="AM459" s="98" t="str">
        <f t="shared" si="252"/>
        <v>1+2422.54095238945i</v>
      </c>
      <c r="AN459" s="98">
        <f t="shared" si="268"/>
        <v>2422.5411587843014</v>
      </c>
      <c r="AO459" s="98">
        <f t="shared" si="269"/>
        <v>1.5703835370989307</v>
      </c>
      <c r="AP459" s="168" t="str">
        <f t="shared" si="270"/>
        <v>-0.0370653660211126+0.610603500533272i</v>
      </c>
      <c r="AQ459" s="98">
        <f t="shared" si="271"/>
        <v>-4.2688405836028371</v>
      </c>
      <c r="AR459" s="169">
        <f t="shared" si="272"/>
        <v>93.473753930696773</v>
      </c>
      <c r="AS459" s="168" t="str">
        <f t="shared" si="273"/>
        <v>0.0169137729944919-0.0141831759856655i</v>
      </c>
      <c r="AT459" s="190">
        <f t="shared" si="274"/>
        <v>-33.122586717125607</v>
      </c>
      <c r="AU459" s="169">
        <f t="shared" si="275"/>
        <v>-39.981776827018372</v>
      </c>
      <c r="AV459" s="225"/>
      <c r="AX459">
        <f t="shared" si="276"/>
        <v>0</v>
      </c>
      <c r="AY459">
        <f t="shared" si="277"/>
        <v>0</v>
      </c>
    </row>
    <row r="460" spans="14:51" x14ac:dyDescent="0.25">
      <c r="N460" s="170">
        <v>42</v>
      </c>
      <c r="O460" s="199">
        <f t="shared" si="278"/>
        <v>263026.79918953858</v>
      </c>
      <c r="P460" s="189" t="str">
        <f t="shared" si="244"/>
        <v>87</v>
      </c>
      <c r="Q460" s="160" t="str">
        <f t="shared" si="245"/>
        <v>1+12394.8459004664i</v>
      </c>
      <c r="R460" s="160">
        <f t="shared" si="253"/>
        <v>12394.845940805748</v>
      </c>
      <c r="S460" s="160">
        <f t="shared" si="254"/>
        <v>1.5707156480994242</v>
      </c>
      <c r="T460" s="160" t="str">
        <f t="shared" si="246"/>
        <v>1+8.2632306003109i</v>
      </c>
      <c r="U460" s="160">
        <f t="shared" si="255"/>
        <v>8.3235196854404343</v>
      </c>
      <c r="V460" s="160">
        <f t="shared" si="256"/>
        <v>1.4503639302125046</v>
      </c>
      <c r="W460" s="98" t="str">
        <f t="shared" si="247"/>
        <v>1-1.17062433504405i</v>
      </c>
      <c r="X460" s="160">
        <f t="shared" si="257"/>
        <v>1.5395977831230221</v>
      </c>
      <c r="Y460" s="160">
        <f t="shared" si="258"/>
        <v>-0.86384297058631154</v>
      </c>
      <c r="Z460" s="98" t="str">
        <f t="shared" si="248"/>
        <v>0.508031309568755+2.45913742665252i</v>
      </c>
      <c r="AA460" s="160">
        <f t="shared" si="259"/>
        <v>2.5110660474518229</v>
      </c>
      <c r="AB460" s="160">
        <f t="shared" si="260"/>
        <v>1.3670730707978402</v>
      </c>
      <c r="AC460" s="171" t="str">
        <f t="shared" si="261"/>
        <v>-0.0252039753063181-0.0254535533383996i</v>
      </c>
      <c r="AD460" s="190">
        <f t="shared" si="262"/>
        <v>-28.917314567771115</v>
      </c>
      <c r="AE460" s="169">
        <f t="shared" si="263"/>
        <v>-134.71771911141445</v>
      </c>
      <c r="AF460" s="98" t="str">
        <f t="shared" si="249"/>
        <v>-0.0000673063927557778</v>
      </c>
      <c r="AG460" s="98" t="str">
        <f t="shared" si="250"/>
        <v>0.0166388411367861i</v>
      </c>
      <c r="AH460" s="98">
        <f t="shared" si="264"/>
        <v>1.6638841136786101E-2</v>
      </c>
      <c r="AI460" s="98">
        <f t="shared" si="265"/>
        <v>1.5707963267948966</v>
      </c>
      <c r="AJ460" s="98" t="str">
        <f t="shared" si="251"/>
        <v>1+16.7431370924059i</v>
      </c>
      <c r="AK460" s="98">
        <f t="shared" si="266"/>
        <v>16.772973489965885</v>
      </c>
      <c r="AL460" s="98">
        <f t="shared" si="267"/>
        <v>1.5111412293417354</v>
      </c>
      <c r="AM460" s="98" t="str">
        <f t="shared" si="252"/>
        <v>1+2478.96918009327i</v>
      </c>
      <c r="AN460" s="98">
        <f t="shared" si="268"/>
        <v>2478.9693817900011</v>
      </c>
      <c r="AO460" s="98">
        <f t="shared" si="269"/>
        <v>1.5703929333385407</v>
      </c>
      <c r="AP460" s="168" t="str">
        <f t="shared" si="270"/>
        <v>-0.0354030794416476+0.596803749635103i</v>
      </c>
      <c r="AQ460" s="98">
        <f t="shared" si="271"/>
        <v>-4.4681131522889563</v>
      </c>
      <c r="AR460" s="169">
        <f t="shared" si="272"/>
        <v>93.394872567975355</v>
      </c>
      <c r="AS460" s="168" t="str">
        <f t="shared" si="273"/>
        <v>0.0160830744139089-0.0141406927976096i</v>
      </c>
      <c r="AT460" s="190">
        <f t="shared" si="274"/>
        <v>-33.385427720060065</v>
      </c>
      <c r="AU460" s="169">
        <f t="shared" si="275"/>
        <v>-41.322846543439042</v>
      </c>
      <c r="AV460" s="225"/>
      <c r="AX460">
        <f t="shared" si="276"/>
        <v>0</v>
      </c>
      <c r="AY460">
        <f t="shared" si="277"/>
        <v>0</v>
      </c>
    </row>
    <row r="461" spans="14:51" x14ac:dyDescent="0.25">
      <c r="N461" s="170">
        <v>43</v>
      </c>
      <c r="O461" s="199">
        <f t="shared" si="278"/>
        <v>269153.48039269145</v>
      </c>
      <c r="P461" s="189" t="str">
        <f t="shared" si="244"/>
        <v>87</v>
      </c>
      <c r="Q461" s="160" t="str">
        <f t="shared" si="245"/>
        <v>1+12683.5589503471i</v>
      </c>
      <c r="R461" s="160">
        <f t="shared" si="253"/>
        <v>12683.558989768211</v>
      </c>
      <c r="S461" s="160">
        <f t="shared" si="254"/>
        <v>1.5707174845707352</v>
      </c>
      <c r="T461" s="160" t="str">
        <f t="shared" si="246"/>
        <v>1+8.45570596689805i</v>
      </c>
      <c r="U461" s="160">
        <f t="shared" si="255"/>
        <v>8.5146323114175217</v>
      </c>
      <c r="V461" s="160">
        <f t="shared" si="256"/>
        <v>1.453079761453534</v>
      </c>
      <c r="W461" s="98" t="str">
        <f t="shared" si="247"/>
        <v>1-1.19789167864389i</v>
      </c>
      <c r="X461" s="160">
        <f t="shared" si="257"/>
        <v>1.5604308615777491</v>
      </c>
      <c r="Y461" s="160">
        <f t="shared" si="258"/>
        <v>-0.87519308782208116</v>
      </c>
      <c r="Z461" s="98" t="str">
        <f t="shared" si="248"/>
        <v>0.484845539502226+2.51641809574886i</v>
      </c>
      <c r="AA461" s="160">
        <f t="shared" si="259"/>
        <v>2.5627007686789196</v>
      </c>
      <c r="AB461" s="160">
        <f t="shared" si="260"/>
        <v>1.380455892072896</v>
      </c>
      <c r="AC461" s="171" t="str">
        <f t="shared" si="261"/>
        <v>-0.0255725037395693-0.0247129306847257i</v>
      </c>
      <c r="AD461" s="190">
        <f t="shared" si="262"/>
        <v>-28.980187002252681</v>
      </c>
      <c r="AE461" s="169">
        <f t="shared" si="263"/>
        <v>-135.97931165711586</v>
      </c>
      <c r="AF461" s="98" t="str">
        <f t="shared" si="249"/>
        <v>-0.0000673063927557778</v>
      </c>
      <c r="AG461" s="98" t="str">
        <f t="shared" si="250"/>
        <v>0.0170264095349459i</v>
      </c>
      <c r="AH461" s="98">
        <f t="shared" si="264"/>
        <v>1.7026409534945899E-2</v>
      </c>
      <c r="AI461" s="98">
        <f t="shared" si="265"/>
        <v>1.5707963267948966</v>
      </c>
      <c r="AJ461" s="98" t="str">
        <f t="shared" si="251"/>
        <v>1+17.1331348554549i</v>
      </c>
      <c r="AK461" s="98">
        <f t="shared" si="266"/>
        <v>17.162293260960311</v>
      </c>
      <c r="AL461" s="98">
        <f t="shared" si="267"/>
        <v>1.5124960345875993</v>
      </c>
      <c r="AM461" s="98" t="str">
        <f t="shared" si="252"/>
        <v>1+2536.71179006941i</v>
      </c>
      <c r="AN461" s="98">
        <f t="shared" si="268"/>
        <v>2536.7119871749637</v>
      </c>
      <c r="AO461" s="98">
        <f t="shared" si="269"/>
        <v>1.5704021156936931</v>
      </c>
      <c r="AP461" s="168" t="str">
        <f t="shared" si="270"/>
        <v>-0.0338150881050548+0.583311523142372i</v>
      </c>
      <c r="AQ461" s="98">
        <f t="shared" si="271"/>
        <v>-4.6674183470079385</v>
      </c>
      <c r="AR461" s="169">
        <f t="shared" si="272"/>
        <v>93.317774055521411</v>
      </c>
      <c r="AS461" s="168" t="str">
        <f t="shared" si="273"/>
        <v>0.0152800737060396-0.0140810661784541i</v>
      </c>
      <c r="AT461" s="190">
        <f t="shared" si="274"/>
        <v>-33.647605349260601</v>
      </c>
      <c r="AU461" s="169">
        <f t="shared" si="275"/>
        <v>-42.661537601594524</v>
      </c>
      <c r="AV461" s="225"/>
      <c r="AX461">
        <f t="shared" si="276"/>
        <v>0</v>
      </c>
      <c r="AY461">
        <f t="shared" si="277"/>
        <v>0</v>
      </c>
    </row>
    <row r="462" spans="14:51" x14ac:dyDescent="0.25">
      <c r="N462" s="170">
        <v>44</v>
      </c>
      <c r="O462" s="199">
        <f t="shared" si="278"/>
        <v>275422.87033381703</v>
      </c>
      <c r="P462" s="189" t="str">
        <f t="shared" si="244"/>
        <v>87</v>
      </c>
      <c r="Q462" s="160" t="str">
        <f t="shared" si="245"/>
        <v>1+12978.9969910701i</v>
      </c>
      <c r="R462" s="160">
        <f t="shared" si="253"/>
        <v>12978.997029593877</v>
      </c>
      <c r="S462" s="160">
        <f t="shared" si="254"/>
        <v>1.570719279238856</v>
      </c>
      <c r="T462" s="160" t="str">
        <f t="shared" si="246"/>
        <v>1+8.65266466071335i</v>
      </c>
      <c r="U462" s="160">
        <f t="shared" si="255"/>
        <v>8.7102586489011724</v>
      </c>
      <c r="V462" s="160">
        <f t="shared" si="256"/>
        <v>1.4557354596337511</v>
      </c>
      <c r="W462" s="98" t="str">
        <f t="shared" si="247"/>
        <v>1-1.22579416026773i</v>
      </c>
      <c r="X462" s="160">
        <f t="shared" si="257"/>
        <v>1.5819517449487737</v>
      </c>
      <c r="Y462" s="160">
        <f t="shared" si="258"/>
        <v>-0.88649662367685478</v>
      </c>
      <c r="Z462" s="98" t="str">
        <f t="shared" si="248"/>
        <v>0.460567057757019+2.57503300302829i</v>
      </c>
      <c r="AA462" s="160">
        <f t="shared" si="259"/>
        <v>2.6158969745339458</v>
      </c>
      <c r="AB462" s="160">
        <f t="shared" si="260"/>
        <v>1.3938090896095183</v>
      </c>
      <c r="AC462" s="171" t="str">
        <f t="shared" si="261"/>
        <v>-0.0259237840427438-0.0239721075985435i</v>
      </c>
      <c r="AD462" s="190">
        <f t="shared" si="262"/>
        <v>-29.042364653287972</v>
      </c>
      <c r="AE462" s="169">
        <f t="shared" si="263"/>
        <v>-137.23998094654391</v>
      </c>
      <c r="AF462" s="98" t="str">
        <f t="shared" si="249"/>
        <v>-0.0000673063927557778</v>
      </c>
      <c r="AG462" s="98" t="str">
        <f t="shared" si="250"/>
        <v>0.0174230055608124i</v>
      </c>
      <c r="AH462" s="98">
        <f t="shared" si="264"/>
        <v>1.7423005560812398E-2</v>
      </c>
      <c r="AI462" s="98">
        <f t="shared" si="265"/>
        <v>1.5707963267948966</v>
      </c>
      <c r="AJ462" s="98" t="str">
        <f t="shared" si="251"/>
        <v>1+17.5322168333882i</v>
      </c>
      <c r="AK462" s="98">
        <f t="shared" si="266"/>
        <v>17.560712602082543</v>
      </c>
      <c r="AL462" s="98">
        <f t="shared" si="267"/>
        <v>1.5138202077722664</v>
      </c>
      <c r="AM462" s="98" t="str">
        <f t="shared" si="252"/>
        <v>1+2595.799398214i</v>
      </c>
      <c r="AN462" s="98">
        <f t="shared" si="268"/>
        <v>2595.799590832884</v>
      </c>
      <c r="AO462" s="98">
        <f t="shared" si="269"/>
        <v>1.5704110890329883</v>
      </c>
      <c r="AP462" s="168" t="str">
        <f t="shared" si="270"/>
        <v>-0.032298093699121+0.570120257930516i</v>
      </c>
      <c r="AQ462" s="98">
        <f t="shared" si="271"/>
        <v>-4.866754709323831</v>
      </c>
      <c r="AR462" s="169">
        <f t="shared" si="272"/>
        <v>93.242418655165338</v>
      </c>
      <c r="AS462" s="168" t="str">
        <f t="shared" si="273"/>
        <v>0.014504272973268-0.0140054210676009i</v>
      </c>
      <c r="AT462" s="190">
        <f t="shared" si="274"/>
        <v>-33.909119362611818</v>
      </c>
      <c r="AU462" s="169">
        <f t="shared" si="275"/>
        <v>-43.997562291378557</v>
      </c>
      <c r="AV462" s="225"/>
      <c r="AX462">
        <f t="shared" si="276"/>
        <v>0</v>
      </c>
      <c r="AY462">
        <f t="shared" si="277"/>
        <v>0</v>
      </c>
    </row>
    <row r="463" spans="14:51" x14ac:dyDescent="0.25">
      <c r="N463" s="170">
        <v>45</v>
      </c>
      <c r="O463" s="199">
        <f t="shared" si="278"/>
        <v>281838.29312644573</v>
      </c>
      <c r="P463" s="189" t="str">
        <f t="shared" si="244"/>
        <v>87</v>
      </c>
      <c r="Q463" s="160" t="str">
        <f t="shared" si="245"/>
        <v>1+13281.316667795i</v>
      </c>
      <c r="R463" s="160">
        <f t="shared" si="253"/>
        <v>13281.316705441866</v>
      </c>
      <c r="S463" s="160">
        <f t="shared" si="254"/>
        <v>1.5707210330553434</v>
      </c>
      <c r="T463" s="160" t="str">
        <f t="shared" si="246"/>
        <v>1+8.8542111118633i</v>
      </c>
      <c r="U463" s="160">
        <f t="shared" si="255"/>
        <v>8.910502478168306</v>
      </c>
      <c r="V463" s="160">
        <f t="shared" si="256"/>
        <v>1.4583322829192507</v>
      </c>
      <c r="W463" s="98" t="str">
        <f t="shared" si="247"/>
        <v>1-1.25434657418064i</v>
      </c>
      <c r="X463" s="160">
        <f t="shared" si="257"/>
        <v>1.6041774615542721</v>
      </c>
      <c r="Y463" s="160">
        <f t="shared" si="258"/>
        <v>-0.89774801816463423</v>
      </c>
      <c r="Z463" s="98" t="str">
        <f t="shared" si="248"/>
        <v>0.435144366418283+2.63501322689052i</v>
      </c>
      <c r="AA463" s="160">
        <f t="shared" si="259"/>
        <v>2.6707012797229046</v>
      </c>
      <c r="AB463" s="160">
        <f t="shared" si="260"/>
        <v>1.4071340561544672</v>
      </c>
      <c r="AC463" s="171" t="str">
        <f t="shared" si="261"/>
        <v>-0.0262578787123106-0.023231485677456i</v>
      </c>
      <c r="AD463" s="190">
        <f t="shared" si="262"/>
        <v>-29.103851785685872</v>
      </c>
      <c r="AE463" s="169">
        <f t="shared" si="263"/>
        <v>-138.49941618139161</v>
      </c>
      <c r="AF463" s="98" t="str">
        <f t="shared" si="249"/>
        <v>-0.0000673063927557778</v>
      </c>
      <c r="AG463" s="98" t="str">
        <f t="shared" si="250"/>
        <v>0.0178288394948479i</v>
      </c>
      <c r="AH463" s="98">
        <f t="shared" si="264"/>
        <v>1.7828839494847901E-2</v>
      </c>
      <c r="AI463" s="98">
        <f t="shared" si="265"/>
        <v>1.5707963267948966</v>
      </c>
      <c r="AJ463" s="98" t="str">
        <f t="shared" si="251"/>
        <v>1+17.9405946247528i</v>
      </c>
      <c r="AK463" s="98">
        <f t="shared" si="266"/>
        <v>17.968442767521875</v>
      </c>
      <c r="AL463" s="98">
        <f t="shared" si="267"/>
        <v>1.5151144324045693</v>
      </c>
      <c r="AM463" s="98" t="str">
        <f t="shared" si="252"/>
        <v>1+2656.26333355899i</v>
      </c>
      <c r="AN463" s="98">
        <f t="shared" si="268"/>
        <v>2656.2635217933325</v>
      </c>
      <c r="AO463" s="98">
        <f t="shared" si="269"/>
        <v>1.5704198581142039</v>
      </c>
      <c r="AP463" s="168" t="str">
        <f t="shared" si="270"/>
        <v>-0.0308489423837465+0.55722351145862i</v>
      </c>
      <c r="AQ463" s="98">
        <f t="shared" si="271"/>
        <v>-5.0661208455672204</v>
      </c>
      <c r="AR463" s="169">
        <f t="shared" si="272"/>
        <v>93.16876747733636</v>
      </c>
      <c r="AS463" s="168" t="str">
        <f t="shared" si="273"/>
        <v>0.0137551578131081-0.0139148406163756i</v>
      </c>
      <c r="AT463" s="190">
        <f t="shared" si="274"/>
        <v>-34.169972631253103</v>
      </c>
      <c r="AU463" s="169">
        <f t="shared" si="275"/>
        <v>-45.330648704055356</v>
      </c>
      <c r="AV463" s="225"/>
      <c r="AX463">
        <f t="shared" si="276"/>
        <v>0</v>
      </c>
      <c r="AY463">
        <f t="shared" si="277"/>
        <v>0</v>
      </c>
    </row>
    <row r="464" spans="14:51" x14ac:dyDescent="0.25">
      <c r="N464" s="170">
        <v>46</v>
      </c>
      <c r="O464" s="199">
        <f t="shared" si="278"/>
        <v>288403.1503126609</v>
      </c>
      <c r="P464" s="189" t="str">
        <f t="shared" si="244"/>
        <v>87</v>
      </c>
      <c r="Q464" s="160" t="str">
        <f t="shared" si="245"/>
        <v>1+13590.6782744162i</v>
      </c>
      <c r="R464" s="160">
        <f t="shared" si="253"/>
        <v>13590.67831120612</v>
      </c>
      <c r="S464" s="160">
        <f t="shared" si="254"/>
        <v>1.570722746950094</v>
      </c>
      <c r="T464" s="160" t="str">
        <f t="shared" si="246"/>
        <v>1+9.0604521829441i</v>
      </c>
      <c r="U464" s="160">
        <f t="shared" si="255"/>
        <v>9.1154700240534243</v>
      </c>
      <c r="V464" s="160">
        <f t="shared" si="256"/>
        <v>1.4608714680111163</v>
      </c>
      <c r="W464" s="98" t="str">
        <f t="shared" si="247"/>
        <v>1-1.28356405925042i</v>
      </c>
      <c r="X464" s="160">
        <f t="shared" si="257"/>
        <v>1.6271252853420402</v>
      </c>
      <c r="Y464" s="160">
        <f t="shared" si="258"/>
        <v>-0.90894184273010958</v>
      </c>
      <c r="Z464" s="98" t="str">
        <f t="shared" si="248"/>
        <v>0.408523540549206+2.69639056964416i</v>
      </c>
      <c r="AA464" s="160">
        <f t="shared" si="259"/>
        <v>2.7271621857250836</v>
      </c>
      <c r="AB464" s="160">
        <f t="shared" si="260"/>
        <v>1.4204323255517155</v>
      </c>
      <c r="AC464" s="171" t="str">
        <f t="shared" si="261"/>
        <v>-0.0265748633211587-0.0224914520156358i</v>
      </c>
      <c r="AD464" s="190">
        <f t="shared" si="262"/>
        <v>-29.164655709444634</v>
      </c>
      <c r="AE464" s="169">
        <f t="shared" si="263"/>
        <v>-139.75732340666266</v>
      </c>
      <c r="AF464" s="98" t="str">
        <f t="shared" si="249"/>
        <v>-0.0000673063927557778</v>
      </c>
      <c r="AG464" s="98" t="str">
        <f t="shared" si="250"/>
        <v>0.0182441265155762i</v>
      </c>
      <c r="AH464" s="98">
        <f t="shared" si="264"/>
        <v>1.8244126515576199E-2</v>
      </c>
      <c r="AI464" s="98">
        <f t="shared" si="265"/>
        <v>1.5707963267948966</v>
      </c>
      <c r="AJ464" s="98" t="str">
        <f t="shared" si="251"/>
        <v>1+18.3584847568593i</v>
      </c>
      <c r="AK464" s="98">
        <f t="shared" si="266"/>
        <v>18.385699947726639</v>
      </c>
      <c r="AL464" s="98">
        <f t="shared" si="267"/>
        <v>1.5163793773469312</v>
      </c>
      <c r="AM464" s="98" t="str">
        <f t="shared" si="252"/>
        <v>1+2718.13565488323i</v>
      </c>
      <c r="AN464" s="98">
        <f t="shared" si="268"/>
        <v>2718.1358388328363</v>
      </c>
      <c r="AO464" s="98">
        <f t="shared" si="269"/>
        <v>1.5704284275868174</v>
      </c>
      <c r="AP464" s="168" t="str">
        <f t="shared" si="270"/>
        <v>-0.0294646186347485+0.544614960909218i</v>
      </c>
      <c r="AQ464" s="98">
        <f t="shared" si="271"/>
        <v>-5.2655154239969884</v>
      </c>
      <c r="AR464" s="169">
        <f t="shared" si="272"/>
        <v>93.096782465436036</v>
      </c>
      <c r="AS464" s="168" t="str">
        <f t="shared" si="273"/>
        <v>0.0130321994733156-0.0138103660926382i</v>
      </c>
      <c r="AT464" s="190">
        <f t="shared" si="274"/>
        <v>-34.430171133441604</v>
      </c>
      <c r="AU464" s="169">
        <f t="shared" si="275"/>
        <v>-46.660540941226515</v>
      </c>
      <c r="AV464" s="225"/>
      <c r="AX464">
        <f t="shared" si="276"/>
        <v>0</v>
      </c>
      <c r="AY464">
        <f t="shared" si="277"/>
        <v>0</v>
      </c>
    </row>
    <row r="465" spans="14:51" x14ac:dyDescent="0.25">
      <c r="N465" s="170">
        <v>47</v>
      </c>
      <c r="O465" s="199">
        <f t="shared" si="278"/>
        <v>295120.92266663886</v>
      </c>
      <c r="P465" s="189" t="str">
        <f t="shared" si="244"/>
        <v>87</v>
      </c>
      <c r="Q465" s="160" t="str">
        <f t="shared" si="245"/>
        <v>1+13907.2458385524i</v>
      </c>
      <c r="R465" s="160">
        <f t="shared" si="253"/>
        <v>13907.245874504883</v>
      </c>
      <c r="S465" s="160">
        <f t="shared" si="254"/>
        <v>1.5707244218318375</v>
      </c>
      <c r="T465" s="160" t="str">
        <f t="shared" si="246"/>
        <v>1+9.27149722570155i</v>
      </c>
      <c r="U465" s="160">
        <f t="shared" si="255"/>
        <v>9.3252700125085681</v>
      </c>
      <c r="V465" s="160">
        <f t="shared" si="256"/>
        <v>1.463354230177504</v>
      </c>
      <c r="W465" s="98" t="str">
        <f t="shared" si="247"/>
        <v>1-1.31346210697439i</v>
      </c>
      <c r="X465" s="160">
        <f t="shared" si="257"/>
        <v>1.6508127411846578</v>
      </c>
      <c r="Y465" s="160">
        <f t="shared" si="258"/>
        <v>-0.92007281222952741</v>
      </c>
      <c r="Z465" s="98" t="str">
        <f t="shared" si="248"/>
        <v>0.380648113809005+2.75919757436878i</v>
      </c>
      <c r="AA465" s="160">
        <f t="shared" si="259"/>
        <v>2.7853301852650993</v>
      </c>
      <c r="AB465" s="160">
        <f t="shared" si="260"/>
        <v>1.4337055630849729</v>
      </c>
      <c r="AC465" s="171" t="str">
        <f t="shared" si="261"/>
        <v>-0.0268748249342492-0.02175237926039i</v>
      </c>
      <c r="AD465" s="190">
        <f t="shared" si="262"/>
        <v>-29.224786764059143</v>
      </c>
      <c r="AE465" s="169">
        <f t="shared" si="263"/>
        <v>-141.01342564198475</v>
      </c>
      <c r="AF465" s="98" t="str">
        <f t="shared" si="249"/>
        <v>-0.0000673063927557778</v>
      </c>
      <c r="AG465" s="98" t="str">
        <f t="shared" si="250"/>
        <v>0.0186690868136726i</v>
      </c>
      <c r="AH465" s="98">
        <f t="shared" si="264"/>
        <v>1.8669086813672599E-2</v>
      </c>
      <c r="AI465" s="98">
        <f t="shared" si="265"/>
        <v>1.5707963267948966</v>
      </c>
      <c r="AJ465" s="98" t="str">
        <f t="shared" si="251"/>
        <v>1+18.7861088005872i</v>
      </c>
      <c r="AK465" s="98">
        <f t="shared" si="266"/>
        <v>18.812705384061587</v>
      </c>
      <c r="AL465" s="98">
        <f t="shared" si="267"/>
        <v>1.5176156970885684</v>
      </c>
      <c r="AM465" s="98" t="str">
        <f t="shared" si="252"/>
        <v>1+2781.44916771046i</v>
      </c>
      <c r="AN465" s="98">
        <f t="shared" si="268"/>
        <v>2781.4493474728624</v>
      </c>
      <c r="AO465" s="98">
        <f t="shared" si="269"/>
        <v>1.5704368019944714</v>
      </c>
      <c r="AP465" s="168" t="str">
        <f t="shared" si="270"/>
        <v>-0.0281422393347689+0.532288402226054i</v>
      </c>
      <c r="AQ465" s="98">
        <f t="shared" si="271"/>
        <v>-5.4649371720826121</v>
      </c>
      <c r="AR465" s="169">
        <f t="shared" si="272"/>
        <v>93.026426380326015</v>
      </c>
      <c r="AS465" s="168" t="str">
        <f t="shared" si="273"/>
        <v>0.0123348569565078-0.0136929969611099i</v>
      </c>
      <c r="AT465" s="190">
        <f t="shared" si="274"/>
        <v>-34.689723936141746</v>
      </c>
      <c r="AU465" s="169">
        <f t="shared" si="275"/>
        <v>-47.986999261658823</v>
      </c>
      <c r="AV465" s="225"/>
      <c r="AX465">
        <f t="shared" si="276"/>
        <v>0</v>
      </c>
      <c r="AY465">
        <f t="shared" si="277"/>
        <v>0</v>
      </c>
    </row>
    <row r="466" spans="14:51" x14ac:dyDescent="0.25">
      <c r="N466" s="170">
        <v>48</v>
      </c>
      <c r="O466" s="199">
        <f t="shared" si="278"/>
        <v>301995.17204020242</v>
      </c>
      <c r="P466" s="189" t="str">
        <f t="shared" si="244"/>
        <v>87</v>
      </c>
      <c r="Q466" s="160" t="str">
        <f t="shared" si="245"/>
        <v>1+14231.1872085163i</v>
      </c>
      <c r="R466" s="160">
        <f t="shared" si="253"/>
        <v>14231.1872436504</v>
      </c>
      <c r="S466" s="160">
        <f t="shared" si="254"/>
        <v>1.5707260585886182</v>
      </c>
      <c r="T466" s="160" t="str">
        <f t="shared" si="246"/>
        <v>1+9.48745813901085i</v>
      </c>
      <c r="U466" s="160">
        <f t="shared" si="255"/>
        <v>9.5400137284745679</v>
      </c>
      <c r="V466" s="160">
        <f t="shared" si="256"/>
        <v>1.4657817633131038</v>
      </c>
      <c r="W466" s="98" t="str">
        <f t="shared" si="247"/>
        <v>1-1.34405656969321i</v>
      </c>
      <c r="X466" s="160">
        <f t="shared" si="257"/>
        <v>1.6752576107976584</v>
      </c>
      <c r="Y466" s="160">
        <f t="shared" si="258"/>
        <v>-0.93113579606632324</v>
      </c>
      <c r="Z466" s="98" t="str">
        <f t="shared" si="248"/>
        <v>0.351458958680236+2.82346754216963i</v>
      </c>
      <c r="AA466" s="160">
        <f t="shared" si="259"/>
        <v>2.8452578725525051</v>
      </c>
      <c r="AB466" s="160">
        <f t="shared" si="260"/>
        <v>1.4469555555885318</v>
      </c>
      <c r="AC466" s="171" t="str">
        <f t="shared" si="261"/>
        <v>-0.0271578605929605-0.0210146257947324i</v>
      </c>
      <c r="AD466" s="190">
        <f t="shared" si="262"/>
        <v>-29.284258291177107</v>
      </c>
      <c r="AE466" s="169">
        <f t="shared" si="263"/>
        <v>-142.26746294964636</v>
      </c>
      <c r="AF466" s="98" t="str">
        <f t="shared" si="249"/>
        <v>-0.0000673063927557778</v>
      </c>
      <c r="AG466" s="98" t="str">
        <f t="shared" si="250"/>
        <v>0.0191039457087123i</v>
      </c>
      <c r="AH466" s="98">
        <f t="shared" si="264"/>
        <v>1.9103945708712301E-2</v>
      </c>
      <c r="AI466" s="98">
        <f t="shared" si="265"/>
        <v>1.5707963267948966</v>
      </c>
      <c r="AJ466" s="98" t="str">
        <f t="shared" si="251"/>
        <v>1+19.2236934878647i</v>
      </c>
      <c r="AK466" s="98">
        <f t="shared" si="266"/>
        <v>19.24968548614163</v>
      </c>
      <c r="AL466" s="98">
        <f t="shared" si="267"/>
        <v>1.5188240320164188</v>
      </c>
      <c r="AM466" s="98" t="str">
        <f t="shared" si="252"/>
        <v>1+2846.23744170325i</v>
      </c>
      <c r="AN466" s="98">
        <f t="shared" si="268"/>
        <v>2846.2376173737607</v>
      </c>
      <c r="AO466" s="98">
        <f t="shared" si="269"/>
        <v>1.570444985777383</v>
      </c>
      <c r="AP466" s="168" t="str">
        <f t="shared" si="270"/>
        <v>-0.0268790481027375+0.520237749059753i</v>
      </c>
      <c r="AQ466" s="98">
        <f t="shared" si="271"/>
        <v>-5.664384873902824</v>
      </c>
      <c r="AR466" s="169">
        <f t="shared" si="272"/>
        <v>92.957662784943224</v>
      </c>
      <c r="AS466" s="168" t="str">
        <f t="shared" si="273"/>
        <v>0.0116625790620302-0.0135636911265627i</v>
      </c>
      <c r="AT466" s="190">
        <f t="shared" si="274"/>
        <v>-34.948643165079936</v>
      </c>
      <c r="AU466" s="169">
        <f t="shared" si="275"/>
        <v>-49.309800164703191</v>
      </c>
      <c r="AV466" s="225"/>
      <c r="AX466">
        <f t="shared" si="276"/>
        <v>0</v>
      </c>
      <c r="AY466">
        <f t="shared" si="277"/>
        <v>0</v>
      </c>
    </row>
    <row r="467" spans="14:51" x14ac:dyDescent="0.25">
      <c r="N467" s="170">
        <v>49</v>
      </c>
      <c r="O467" s="199">
        <f t="shared" si="278"/>
        <v>309029.54325135931</v>
      </c>
      <c r="P467" s="189" t="str">
        <f t="shared" ref="P467:P530" si="279">COMPLEX(Adc,0)</f>
        <v>87</v>
      </c>
      <c r="Q467" s="160" t="str">
        <f t="shared" ref="Q467:Q530" si="280">IMSUM(COMPLEX(1,0),IMDIV(COMPLEX(0,2*PI()*O467),COMPLEX(wp_lf,0)))</f>
        <v>1+14562.6741423102i</v>
      </c>
      <c r="R467" s="160">
        <f t="shared" si="253"/>
        <v>14562.674176644552</v>
      </c>
      <c r="S467" s="160">
        <f t="shared" si="254"/>
        <v>1.5707276580882665</v>
      </c>
      <c r="T467" s="160" t="str">
        <f t="shared" ref="T467:T530" si="281">IMSUM(COMPLEX(1,0),IMDIV(COMPLEX(0,2*PI()*O467),COMPLEX(wz_esr,0)))</f>
        <v>1+9.7084494282068i</v>
      </c>
      <c r="U467" s="160">
        <f t="shared" si="255"/>
        <v>9.7598150750948633</v>
      </c>
      <c r="V467" s="160">
        <f t="shared" si="256"/>
        <v>1.4681552400237321</v>
      </c>
      <c r="W467" s="98" t="str">
        <f t="shared" ref="W467:W530" si="282">IMSUB(COMPLEX(1,0),IMDIV(COMPLEX(0,2*PI()*O467),COMPLEX(wz_rhp,0)))</f>
        <v>1-1.37536366899597i</v>
      </c>
      <c r="X467" s="160">
        <f t="shared" si="257"/>
        <v>1.7004779392847342</v>
      </c>
      <c r="Y467" s="160">
        <f t="shared" si="258"/>
        <v>-0.94212582843373593</v>
      </c>
      <c r="Z467" s="98" t="str">
        <f t="shared" ref="Z467:Z530" si="283">IF(Dc_Mode_Loop="CCM",IMSUM(COMPLEX(1,0),IMDIV(COMPLEX(0,2*PI()*O467),COMPLEX(Q*(wsl/2),0)),IMDIV(IMPOWER(COMPLEX(0,2*PI()*O467),2),IMPOWER(COMPLEX(wsl/2,0),2))),COMPLEX(1,0))</f>
        <v>0.320894161051418+2.88923454983434i</v>
      </c>
      <c r="AA467" s="160">
        <f t="shared" si="259"/>
        <v>2.9070000596066961</v>
      </c>
      <c r="AB467" s="160">
        <f t="shared" si="260"/>
        <v>1.460184201356465</v>
      </c>
      <c r="AC467" s="171" t="str">
        <f t="shared" si="261"/>
        <v>-0.0274240758758657-0.0202785360363121i</v>
      </c>
      <c r="AD467" s="190">
        <f t="shared" si="262"/>
        <v>-29.343086596392336</v>
      </c>
      <c r="AE467" s="169">
        <f t="shared" si="263"/>
        <v>-143.5191924384749</v>
      </c>
      <c r="AF467" s="98" t="str">
        <f t="shared" ref="AF467:AF530" si="284">COMPLEX(Adc_ea,0)</f>
        <v>-0.0000673063927557778</v>
      </c>
      <c r="AG467" s="98" t="str">
        <f t="shared" ref="AG467:AG530" si="285">COMPLEX(0,2*PI()*O467*wp0_ea)</f>
        <v>0.0195489337686372i</v>
      </c>
      <c r="AH467" s="98">
        <f t="shared" si="264"/>
        <v>1.95489337686372E-2</v>
      </c>
      <c r="AI467" s="98">
        <f t="shared" si="265"/>
        <v>1.5707963267948966</v>
      </c>
      <c r="AJ467" s="98" t="str">
        <f t="shared" ref="AJ467:AJ530" si="286">IMSUM(COMPLEX(1,0),IMDIV(COMPLEX(0,2*PI()*O467),COMPLEX(wp1_ea,0)))</f>
        <v>1+19.671470831885i</v>
      </c>
      <c r="AK467" s="98">
        <f t="shared" si="266"/>
        <v>19.696871951903997</v>
      </c>
      <c r="AL467" s="98">
        <f t="shared" si="267"/>
        <v>1.5200050086835892</v>
      </c>
      <c r="AM467" s="98" t="str">
        <f t="shared" ref="AM467:AM530" si="287">IMSUM(COMPLEX(1,0),IMDIV(COMPLEX(0,2*PI()*O467),COMPLEX(wz_ea,0)))</f>
        <v>1+2912.53482846204i</v>
      </c>
      <c r="AN467" s="98">
        <f t="shared" si="268"/>
        <v>2912.535000133802</v>
      </c>
      <c r="AO467" s="98">
        <f t="shared" si="269"/>
        <v>1.5704529832746981</v>
      </c>
      <c r="AP467" s="168" t="str">
        <f t="shared" si="270"/>
        <v>-0.0256724098535095+0.508457031630725i</v>
      </c>
      <c r="AQ467" s="98">
        <f t="shared" si="271"/>
        <v>-5.8638573676557302</v>
      </c>
      <c r="AR467" s="169">
        <f t="shared" si="272"/>
        <v>92.890456029053752</v>
      </c>
      <c r="AS467" s="168" t="str">
        <f t="shared" si="273"/>
        <v>0.0110148063545789-0.0134233653267051i</v>
      </c>
      <c r="AT467" s="190">
        <f t="shared" si="274"/>
        <v>-35.206943964048058</v>
      </c>
      <c r="AU467" s="169">
        <f t="shared" si="275"/>
        <v>-50.628736409421194</v>
      </c>
      <c r="AV467" s="225"/>
      <c r="AX467">
        <f t="shared" si="276"/>
        <v>0</v>
      </c>
      <c r="AY467">
        <f t="shared" si="277"/>
        <v>0</v>
      </c>
    </row>
    <row r="468" spans="14:51" x14ac:dyDescent="0.25">
      <c r="N468" s="170">
        <v>50</v>
      </c>
      <c r="O468" s="199">
        <f t="shared" si="278"/>
        <v>316227.7660168382</v>
      </c>
      <c r="P468" s="189" t="str">
        <f t="shared" si="279"/>
        <v>87</v>
      </c>
      <c r="Q468" s="160" t="str">
        <f t="shared" si="280"/>
        <v>1+14901.8823986942i</v>
      </c>
      <c r="R468" s="160">
        <f t="shared" ref="R468:R531" si="288">IMABS(Q468)</f>
        <v>14901.882432247008</v>
      </c>
      <c r="S468" s="160">
        <f t="shared" ref="S468:S531" si="289">IMARGUMENT(Q468)</f>
        <v>1.5707292211788579</v>
      </c>
      <c r="T468" s="160" t="str">
        <f t="shared" si="281"/>
        <v>1+9.9345882657961i</v>
      </c>
      <c r="U468" s="160">
        <f t="shared" ref="U468:U531" si="290">IMABS(T468)</f>
        <v>9.9847906343044333</v>
      </c>
      <c r="V468" s="160">
        <f t="shared" ref="V468:V531" si="291">IMARGUMENT(T468)</f>
        <v>1.4704758117339285</v>
      </c>
      <c r="W468" s="98" t="str">
        <f t="shared" si="282"/>
        <v>1-1.40740000432112i</v>
      </c>
      <c r="X468" s="160">
        <f t="shared" ref="X468:X531" si="292">IMABS(W468)</f>
        <v>1.7264920423109653</v>
      </c>
      <c r="Y468" s="160">
        <f t="shared" ref="Y468:Y531" si="293">IMARGUMENT(W468)</f>
        <v>-0.95303811762591761</v>
      </c>
      <c r="Z468" s="98" t="str">
        <f t="shared" si="283"/>
        <v>0.288888888888886+2.95653346790092i</v>
      </c>
      <c r="AA468" s="160">
        <f t="shared" ref="AA468:AA531" si="294">IMABS(Z468)</f>
        <v>2.9706138990016351</v>
      </c>
      <c r="AB468" s="160">
        <f t="shared" ref="AB468:AB531" si="295">IMARGUMENT(Z468)</f>
        <v>1.4733934998776783</v>
      </c>
      <c r="AC468" s="171" t="str">
        <f t="shared" ref="AC468:AC531" si="296">(IMDIV(IMPRODUCT(P468,T468,W468),IMPRODUCT(Q468,Z468)))</f>
        <v>-0.0276735835426417-0.0195444408428693i</v>
      </c>
      <c r="AD468" s="190">
        <f t="shared" ref="AD468:AD531" si="297">20*LOG(IMABS(AC468))</f>
        <v>-29.401290900996926</v>
      </c>
      <c r="AE468" s="169">
        <f t="shared" ref="AE468:AE531" si="298">(180/PI())*IMARGUMENT(AC468)</f>
        <v>-144.76838820304926</v>
      </c>
      <c r="AF468" s="98" t="str">
        <f t="shared" si="284"/>
        <v>-0.0000673063927557778</v>
      </c>
      <c r="AG468" s="98" t="str">
        <f t="shared" si="285"/>
        <v>0.020004286932007i</v>
      </c>
      <c r="AH468" s="98">
        <f t="shared" ref="AH468:AH531" si="299">IMABS(AG468)</f>
        <v>2.0004286932006999E-2</v>
      </c>
      <c r="AI468" s="98">
        <f t="shared" ref="AI468:AI531" si="300">IMARGUMENT(AG468)</f>
        <v>1.5707963267948966</v>
      </c>
      <c r="AJ468" s="98" t="str">
        <f t="shared" si="286"/>
        <v>1+20.1296782501232i</v>
      </c>
      <c r="AK468" s="98">
        <f t="shared" ref="AK468:AK531" si="301">IMABS(AJ468)</f>
        <v>20.154501890483004</v>
      </c>
      <c r="AL468" s="98">
        <f t="shared" ref="AL468:AL531" si="302">IMARGUMENT(AJ468)</f>
        <v>1.5211592400751421</v>
      </c>
      <c r="AM468" s="98" t="str">
        <f t="shared" si="287"/>
        <v>1+2980.37647973883i</v>
      </c>
      <c r="AN468" s="98">
        <f t="shared" ref="AN468:AN531" si="303">IMABS(AM468)</f>
        <v>2980.3766475028651</v>
      </c>
      <c r="AO468" s="98">
        <f t="shared" ref="AO468:AO531" si="304">IMARGUMENT(AM468)</f>
        <v>1.5704607987267911</v>
      </c>
      <c r="AP468" s="168" t="str">
        <f t="shared" ref="AP468:AP531" si="305">IMPRODUCT(AF468,IMDIV(AM468,IMPRODUCT(AG468,AJ468)))</f>
        <v>-0.0245198055794731+0.496940395517919i</v>
      </c>
      <c r="AQ468" s="98">
        <f t="shared" ref="AQ468:AQ531" si="306">20*LOG(IMABS(AP468))</f>
        <v>-6.0633535432765662</v>
      </c>
      <c r="AR468" s="169">
        <f t="shared" ref="AR468:AR531" si="307">(180/PI())*IMARGUMENT(AP468)</f>
        <v>92.824771234156174</v>
      </c>
      <c r="AS468" s="168" t="str">
        <f t="shared" ref="AS468:AS531" si="308">IMPRODUCT(AC468,AP468)</f>
        <v>0.0103909730507849-0.0132728956614519i</v>
      </c>
      <c r="AT468" s="190">
        <f t="shared" ref="AT468:AT531" si="309">20*LOG(IMABS(AS468))</f>
        <v>-35.464644444273489</v>
      </c>
      <c r="AU468" s="169">
        <f t="shared" ref="AU468:AU531" si="310">(180/PI())*IMARGUMENT(AS468)</f>
        <v>-51.943616968893174</v>
      </c>
      <c r="AV468" s="225"/>
      <c r="AX468">
        <f t="shared" ref="AX468:AX531" si="311">SUM((AT469&lt;0)*(AT468&gt;0))*O468</f>
        <v>0</v>
      </c>
      <c r="AY468">
        <f t="shared" ref="AY468:AY531" si="312">IF(AX468&gt;0,AU468,0)</f>
        <v>0</v>
      </c>
    </row>
    <row r="469" spans="14:51" x14ac:dyDescent="0.25">
      <c r="N469" s="170">
        <v>51</v>
      </c>
      <c r="O469" s="199">
        <f t="shared" si="278"/>
        <v>323593.65692962846</v>
      </c>
      <c r="P469" s="189" t="str">
        <f t="shared" si="279"/>
        <v>87</v>
      </c>
      <c r="Q469" s="160" t="str">
        <f t="shared" si="280"/>
        <v>1+15248.9918303757i</v>
      </c>
      <c r="R469" s="160">
        <f t="shared" si="288"/>
        <v>15248.991863164752</v>
      </c>
      <c r="S469" s="160">
        <f t="shared" si="289"/>
        <v>1.5707307486891642</v>
      </c>
      <c r="T469" s="160" t="str">
        <f t="shared" si="281"/>
        <v>1+10.1659945535837i</v>
      </c>
      <c r="U469" s="160">
        <f t="shared" si="290"/>
        <v>10.215059728826525</v>
      </c>
      <c r="V469" s="160">
        <f t="shared" si="291"/>
        <v>1.4727446088155762</v>
      </c>
      <c r="W469" s="98" t="str">
        <f t="shared" si="282"/>
        <v>1-1.4401825617577i</v>
      </c>
      <c r="X469" s="160">
        <f t="shared" si="292"/>
        <v>1.7533185139018441</v>
      </c>
      <c r="Y469" s="160">
        <f t="shared" si="293"/>
        <v>-0.96386805438828582</v>
      </c>
      <c r="Z469" s="98" t="str">
        <f t="shared" si="283"/>
        <v>0.255375254719358+3.02539997914652i</v>
      </c>
      <c r="AA469" s="160">
        <f t="shared" si="294"/>
        <v>3.036159013382326</v>
      </c>
      <c r="AB469" s="160">
        <f t="shared" si="295"/>
        <v>1.4865855414218125</v>
      </c>
      <c r="AC469" s="171" t="str">
        <f t="shared" si="296"/>
        <v>-0.0279065022668089-0.0188126580143015i</v>
      </c>
      <c r="AD469" s="190">
        <f t="shared" si="297"/>
        <v>-29.45889328453778</v>
      </c>
      <c r="AE469" s="169">
        <f t="shared" si="298"/>
        <v>-146.0148411981101</v>
      </c>
      <c r="AF469" s="98" t="str">
        <f t="shared" si="284"/>
        <v>-0.0000673063927557778</v>
      </c>
      <c r="AG469" s="98" t="str">
        <f t="shared" si="285"/>
        <v>0.0204702466330963i</v>
      </c>
      <c r="AH469" s="98">
        <f t="shared" si="299"/>
        <v>2.0470246633096299E-2</v>
      </c>
      <c r="AI469" s="98">
        <f t="shared" si="300"/>
        <v>1.5707963267948966</v>
      </c>
      <c r="AJ469" s="98" t="str">
        <f t="shared" si="286"/>
        <v>1+20.5985586902174i</v>
      </c>
      <c r="AK469" s="98">
        <f t="shared" si="301"/>
        <v>20.62281794795102</v>
      </c>
      <c r="AL469" s="98">
        <f t="shared" si="302"/>
        <v>1.5222873258710545</v>
      </c>
      <c r="AM469" s="98" t="str">
        <f t="shared" si="287"/>
        <v>1+3049.79836607512i</v>
      </c>
      <c r="AN469" s="98">
        <f t="shared" si="303"/>
        <v>3049.79853002038</v>
      </c>
      <c r="AO469" s="98">
        <f t="shared" si="304"/>
        <v>1.5704684362775148</v>
      </c>
      <c r="AP469" s="168" t="str">
        <f t="shared" si="305"/>
        <v>-0.0234188273461171+0.485682100381577i</v>
      </c>
      <c r="AQ469" s="98">
        <f t="shared" si="306"/>
        <v>-6.2628723401568678</v>
      </c>
      <c r="AR469" s="169">
        <f t="shared" si="307"/>
        <v>92.760574278544027</v>
      </c>
      <c r="AS469" s="168" t="str">
        <f t="shared" si="308"/>
        <v>0.00979050881656668-0.0131131182452885i</v>
      </c>
      <c r="AT469" s="190">
        <f t="shared" si="309"/>
        <v>-35.721765624694655</v>
      </c>
      <c r="AU469" s="169">
        <f t="shared" si="310"/>
        <v>-53.254266919566071</v>
      </c>
      <c r="AV469" s="225"/>
      <c r="AX469">
        <f t="shared" si="311"/>
        <v>0</v>
      </c>
      <c r="AY469">
        <f t="shared" si="312"/>
        <v>0</v>
      </c>
    </row>
    <row r="470" spans="14:51" x14ac:dyDescent="0.25">
      <c r="N470" s="170">
        <v>52</v>
      </c>
      <c r="O470" s="199">
        <f t="shared" si="278"/>
        <v>331131.12148259126</v>
      </c>
      <c r="P470" s="189" t="str">
        <f t="shared" si="279"/>
        <v>87</v>
      </c>
      <c r="Q470" s="160" t="str">
        <f t="shared" si="280"/>
        <v>1+15604.1864793699i</v>
      </c>
      <c r="R470" s="160">
        <f t="shared" si="288"/>
        <v>15604.186511412581</v>
      </c>
      <c r="S470" s="160">
        <f t="shared" si="289"/>
        <v>1.570732241429091</v>
      </c>
      <c r="T470" s="160" t="str">
        <f t="shared" si="281"/>
        <v>1+10.4027909862466i</v>
      </c>
      <c r="U470" s="160">
        <f t="shared" si="290"/>
        <v>10.45074448561123</v>
      </c>
      <c r="V470" s="160">
        <f t="shared" si="291"/>
        <v>1.4749627407356747</v>
      </c>
      <c r="W470" s="98" t="str">
        <f t="shared" si="282"/>
        <v>1-1.4737287230516i</v>
      </c>
      <c r="X470" s="160">
        <f t="shared" si="292"/>
        <v>1.7809762348631437</v>
      </c>
      <c r="Y470" s="160">
        <f t="shared" si="293"/>
        <v>-0.97461121928719563</v>
      </c>
      <c r="Z470" s="98" t="str">
        <f t="shared" si="283"/>
        <v>0.220282171631506+3.09587059750699i</v>
      </c>
      <c r="AA470" s="160">
        <f t="shared" si="294"/>
        <v>3.1036976321231711</v>
      </c>
      <c r="AB470" s="160">
        <f t="shared" si="295"/>
        <v>1.4997624964986866</v>
      </c>
      <c r="AC470" s="171" t="str">
        <f t="shared" si="296"/>
        <v>-0.0281229554620828-0.0180834928814095i</v>
      </c>
      <c r="AD470" s="190">
        <f t="shared" si="297"/>
        <v>-29.515918619030366</v>
      </c>
      <c r="AE470" s="169">
        <f t="shared" si="298"/>
        <v>-147.25835904844209</v>
      </c>
      <c r="AF470" s="98" t="str">
        <f t="shared" si="284"/>
        <v>-0.0000673063927557778</v>
      </c>
      <c r="AG470" s="98" t="str">
        <f t="shared" si="285"/>
        <v>0.0209470599299061i</v>
      </c>
      <c r="AH470" s="98">
        <f t="shared" si="299"/>
        <v>2.0947059929906101E-2</v>
      </c>
      <c r="AI470" s="98">
        <f t="shared" si="300"/>
        <v>1.5707963267948966</v>
      </c>
      <c r="AJ470" s="98" t="str">
        <f t="shared" si="286"/>
        <v>1+21.0783607587833i</v>
      </c>
      <c r="AK470" s="98">
        <f t="shared" si="301"/>
        <v>21.102068435994983</v>
      </c>
      <c r="AL470" s="98">
        <f t="shared" si="302"/>
        <v>1.5233898527062093</v>
      </c>
      <c r="AM470" s="98" t="str">
        <f t="shared" si="287"/>
        <v>1+3120.83729587398i</v>
      </c>
      <c r="AN470" s="98">
        <f t="shared" si="303"/>
        <v>3120.8374560873913</v>
      </c>
      <c r="AO470" s="98">
        <f t="shared" si="304"/>
        <v>1.5704758999763959</v>
      </c>
      <c r="AP470" s="168" t="str">
        <f t="shared" si="305"/>
        <v>-0.0223671734937232+0.474676518627342i</v>
      </c>
      <c r="AQ470" s="98">
        <f t="shared" si="306"/>
        <v>-6.4624127449628723</v>
      </c>
      <c r="AR470" s="169">
        <f t="shared" si="307"/>
        <v>92.697831782535189</v>
      </c>
      <c r="AS470" s="168" t="str">
        <f t="shared" si="308"/>
        <v>0.00921284046954644-0.0129448299696023i</v>
      </c>
      <c r="AT470" s="190">
        <f t="shared" si="309"/>
        <v>-35.97833136399322</v>
      </c>
      <c r="AU470" s="169">
        <f t="shared" si="310"/>
        <v>-54.560527265906991</v>
      </c>
      <c r="AV470" s="225"/>
      <c r="AX470">
        <f t="shared" si="311"/>
        <v>0</v>
      </c>
      <c r="AY470">
        <f t="shared" si="312"/>
        <v>0</v>
      </c>
    </row>
    <row r="471" spans="14:51" x14ac:dyDescent="0.25">
      <c r="N471" s="170">
        <v>53</v>
      </c>
      <c r="O471" s="199">
        <f t="shared" si="278"/>
        <v>338844.15613920329</v>
      </c>
      <c r="P471" s="189" t="str">
        <f t="shared" si="279"/>
        <v>87</v>
      </c>
      <c r="Q471" s="160" t="str">
        <f t="shared" si="280"/>
        <v>1+15967.6546745814i</v>
      </c>
      <c r="R471" s="160">
        <f t="shared" si="288"/>
        <v>15967.654705894702</v>
      </c>
      <c r="S471" s="160">
        <f t="shared" si="289"/>
        <v>1.5707337001901089</v>
      </c>
      <c r="T471" s="160" t="str">
        <f t="shared" si="281"/>
        <v>1+10.6451031163876i</v>
      </c>
      <c r="U471" s="160">
        <f t="shared" si="290"/>
        <v>10.691969900749115</v>
      </c>
      <c r="V471" s="160">
        <f t="shared" si="291"/>
        <v>1.4771312962215073</v>
      </c>
      <c r="W471" s="98" t="str">
        <f t="shared" si="282"/>
        <v>1-1.50805627482157i</v>
      </c>
      <c r="X471" s="160">
        <f t="shared" si="292"/>
        <v>1.809484381813977</v>
      </c>
      <c r="Y471" s="160">
        <f t="shared" si="293"/>
        <v>-0.98526338908806488</v>
      </c>
      <c r="Z471" s="98" t="str">
        <f t="shared" si="283"/>
        <v>0.183535202491096+3.16798268743694i</v>
      </c>
      <c r="AA471" s="160">
        <f t="shared" si="294"/>
        <v>3.1732947355160102</v>
      </c>
      <c r="AB471" s="160">
        <f t="shared" si="295"/>
        <v>1.5129266052117607</v>
      </c>
      <c r="AC471" s="171" t="str">
        <f t="shared" si="296"/>
        <v>-0.0283230702062434-0.017357238971456i</v>
      </c>
      <c r="AD471" s="190">
        <f t="shared" si="297"/>
        <v>-29.57239449567998</v>
      </c>
      <c r="AE471" s="169">
        <f t="shared" si="298"/>
        <v>-148.49876579487065</v>
      </c>
      <c r="AF471" s="98" t="str">
        <f t="shared" si="284"/>
        <v>-0.0000673063927557778</v>
      </c>
      <c r="AG471" s="98" t="str">
        <f t="shared" si="285"/>
        <v>0.0214349796351579i</v>
      </c>
      <c r="AH471" s="98">
        <f t="shared" si="299"/>
        <v>2.1434979635157898E-2</v>
      </c>
      <c r="AI471" s="98">
        <f t="shared" si="300"/>
        <v>1.5707963267948966</v>
      </c>
      <c r="AJ471" s="98" t="str">
        <f t="shared" si="286"/>
        <v>1+21.5693388532286i</v>
      </c>
      <c r="AK471" s="98">
        <f t="shared" si="301"/>
        <v>21.592507463594796</v>
      </c>
      <c r="AL471" s="98">
        <f t="shared" si="302"/>
        <v>1.5244673944272855</v>
      </c>
      <c r="AM471" s="98" t="str">
        <f t="shared" si="287"/>
        <v>1+3193.53093491626i</v>
      </c>
      <c r="AN471" s="98">
        <f t="shared" si="303"/>
        <v>3193.5310914827683</v>
      </c>
      <c r="AO471" s="98">
        <f t="shared" si="304"/>
        <v>1.5704831937807828</v>
      </c>
      <c r="AP471" s="168" t="str">
        <f t="shared" si="305"/>
        <v>-0.021362644037561+0.463918134018688i</v>
      </c>
      <c r="AQ471" s="98">
        <f t="shared" si="306"/>
        <v>-6.6619737895485711</v>
      </c>
      <c r="AR471" s="169">
        <f t="shared" si="307"/>
        <v>92.636511093876223</v>
      </c>
      <c r="AS471" s="168" t="str">
        <f t="shared" si="308"/>
        <v>0.00865739358222115-0.0127687893621386i</v>
      </c>
      <c r="AT471" s="190">
        <f t="shared" si="309"/>
        <v>-36.234368285228562</v>
      </c>
      <c r="AU471" s="169">
        <f t="shared" si="310"/>
        <v>-55.86225470099432</v>
      </c>
      <c r="AV471" s="225"/>
      <c r="AX471">
        <f t="shared" si="311"/>
        <v>0</v>
      </c>
      <c r="AY471">
        <f t="shared" si="312"/>
        <v>0</v>
      </c>
    </row>
    <row r="472" spans="14:51" x14ac:dyDescent="0.25">
      <c r="N472" s="170">
        <v>54</v>
      </c>
      <c r="O472" s="199">
        <f t="shared" si="278"/>
        <v>346736.85045253241</v>
      </c>
      <c r="P472" s="189" t="str">
        <f t="shared" si="279"/>
        <v>87</v>
      </c>
      <c r="Q472" s="160" t="str">
        <f t="shared" si="280"/>
        <v>1+16339.5891316581i</v>
      </c>
      <c r="R472" s="160">
        <f t="shared" si="288"/>
        <v>16339.589162258624</v>
      </c>
      <c r="S472" s="160">
        <f t="shared" si="289"/>
        <v>1.5707351257456723</v>
      </c>
      <c r="T472" s="160" t="str">
        <f t="shared" si="281"/>
        <v>1+10.8930594211054i</v>
      </c>
      <c r="U472" s="160">
        <f t="shared" si="290"/>
        <v>10.938863905896861</v>
      </c>
      <c r="V472" s="160">
        <f t="shared" si="291"/>
        <v>1.4792513434415837</v>
      </c>
      <c r="W472" s="98" t="str">
        <f t="shared" si="282"/>
        <v>1-1.54318341798994i</v>
      </c>
      <c r="X472" s="160">
        <f t="shared" si="292"/>
        <v>1.8388624368231337</v>
      </c>
      <c r="Y472" s="160">
        <f t="shared" si="293"/>
        <v>-0.99582054213993043</v>
      </c>
      <c r="Z472" s="98" t="str">
        <f t="shared" si="283"/>
        <v>0.145056402049829+3.24177448372097i</v>
      </c>
      <c r="AA472" s="160">
        <f t="shared" si="294"/>
        <v>3.245018206894994</v>
      </c>
      <c r="AB472" s="160">
        <f t="shared" si="295"/>
        <v>1.5260801665241479</v>
      </c>
      <c r="AC472" s="171" t="str">
        <f t="shared" si="296"/>
        <v>-0.0285069762656345-0.0166341787407722i</v>
      </c>
      <c r="AD472" s="190">
        <f t="shared" si="297"/>
        <v>-29.628351144945238</v>
      </c>
      <c r="AE472" s="169">
        <f t="shared" si="298"/>
        <v>-149.735901577421</v>
      </c>
      <c r="AF472" s="98" t="str">
        <f t="shared" si="284"/>
        <v>-0.0000673063927557778</v>
      </c>
      <c r="AG472" s="98" t="str">
        <f t="shared" si="285"/>
        <v>0.0219342644503378i</v>
      </c>
      <c r="AH472" s="98">
        <f t="shared" si="299"/>
        <v>2.19342644503378E-2</v>
      </c>
      <c r="AI472" s="98">
        <f t="shared" si="300"/>
        <v>1.5707963267948966</v>
      </c>
      <c r="AJ472" s="98" t="str">
        <f t="shared" si="286"/>
        <v>1+22.0717532966379i</v>
      </c>
      <c r="AK472" s="98">
        <f t="shared" si="301"/>
        <v>22.094395071774336</v>
      </c>
      <c r="AL472" s="98">
        <f t="shared" si="302"/>
        <v>1.5255205123464386</v>
      </c>
      <c r="AM472" s="98" t="str">
        <f t="shared" si="287"/>
        <v>1+3267.91782633162i</v>
      </c>
      <c r="AN472" s="98">
        <f t="shared" si="303"/>
        <v>3267.9179793342396</v>
      </c>
      <c r="AO472" s="98">
        <f t="shared" si="304"/>
        <v>1.5704903215579444</v>
      </c>
      <c r="AP472" s="168" t="str">
        <f t="shared" si="305"/>
        <v>-0.0204031362591626+0.453401540244171i</v>
      </c>
      <c r="AQ472" s="98">
        <f t="shared" si="306"/>
        <v>-6.8615545489581802</v>
      </c>
      <c r="AR472" s="169">
        <f t="shared" si="307"/>
        <v>92.576580273327821</v>
      </c>
      <c r="AS472" s="168" t="str">
        <f t="shared" si="308"/>
        <v>0.00812359398284741-0.0125857175311355i</v>
      </c>
      <c r="AT472" s="190">
        <f t="shared" si="309"/>
        <v>-36.489905693903403</v>
      </c>
      <c r="AU472" s="169">
        <f t="shared" si="310"/>
        <v>-57.159321304093282</v>
      </c>
      <c r="AV472" s="225"/>
      <c r="AX472">
        <f t="shared" si="311"/>
        <v>0</v>
      </c>
      <c r="AY472">
        <f t="shared" si="312"/>
        <v>0</v>
      </c>
    </row>
    <row r="473" spans="14:51" x14ac:dyDescent="0.25">
      <c r="N473" s="170">
        <v>55</v>
      </c>
      <c r="O473" s="199">
        <f t="shared" si="278"/>
        <v>354813.38923357555</v>
      </c>
      <c r="P473" s="189" t="str">
        <f t="shared" si="279"/>
        <v>87</v>
      </c>
      <c r="Q473" s="160" t="str">
        <f t="shared" si="280"/>
        <v>1+16720.1870551725i</v>
      </c>
      <c r="R473" s="160">
        <f t="shared" si="288"/>
        <v>16720.187085076472</v>
      </c>
      <c r="S473" s="160">
        <f t="shared" si="289"/>
        <v>1.5707365188516298</v>
      </c>
      <c r="T473" s="160" t="str">
        <f t="shared" si="281"/>
        <v>1+11.1467913701149i</v>
      </c>
      <c r="U473" s="160">
        <f t="shared" si="290"/>
        <v>11.191557436249347</v>
      </c>
      <c r="V473" s="160">
        <f t="shared" si="291"/>
        <v>1.4813239302008052</v>
      </c>
      <c r="W473" s="98" t="str">
        <f t="shared" si="282"/>
        <v>1-1.57912877743295i</v>
      </c>
      <c r="X473" s="160">
        <f t="shared" si="292"/>
        <v>1.8691301976365595</v>
      </c>
      <c r="Y473" s="160">
        <f t="shared" si="293"/>
        <v>-1.0062788627727506</v>
      </c>
      <c r="Z473" s="98" t="str">
        <f t="shared" si="283"/>
        <v>0.104764151613036+3.31728511174621i</v>
      </c>
      <c r="AA473" s="160">
        <f t="shared" si="294"/>
        <v>3.3189389931235955</v>
      </c>
      <c r="AB473" s="160">
        <f t="shared" si="295"/>
        <v>1.5392255274538711</v>
      </c>
      <c r="AC473" s="171" t="str">
        <f t="shared" si="296"/>
        <v>-0.0286748052226402-0.0159145843647976i</v>
      </c>
      <c r="AD473" s="190">
        <f t="shared" si="297"/>
        <v>-29.683821350758798</v>
      </c>
      <c r="AE473" s="169">
        <f t="shared" si="298"/>
        <v>-150.96962225703899</v>
      </c>
      <c r="AF473" s="98" t="str">
        <f t="shared" si="284"/>
        <v>-0.0000673063927557778</v>
      </c>
      <c r="AG473" s="98" t="str">
        <f t="shared" si="285"/>
        <v>0.0224451791028635i</v>
      </c>
      <c r="AH473" s="98">
        <f t="shared" si="299"/>
        <v>2.2445179102863502E-2</v>
      </c>
      <c r="AI473" s="98">
        <f t="shared" si="300"/>
        <v>1.5707963267948966</v>
      </c>
      <c r="AJ473" s="98" t="str">
        <f t="shared" si="286"/>
        <v>1+22.5858704757991i</v>
      </c>
      <c r="AK473" s="98">
        <f t="shared" si="301"/>
        <v>22.607997371496076</v>
      </c>
      <c r="AL473" s="98">
        <f t="shared" si="302"/>
        <v>1.5265497554916667</v>
      </c>
      <c r="AM473" s="98" t="str">
        <f t="shared" si="287"/>
        <v>1+3344.03741103448i</v>
      </c>
      <c r="AN473" s="98">
        <f t="shared" si="303"/>
        <v>3344.0375605543345</v>
      </c>
      <c r="AO473" s="98">
        <f t="shared" si="304"/>
        <v>1.5704972870871194</v>
      </c>
      <c r="AP473" s="168" t="str">
        <f t="shared" si="305"/>
        <v>-0.0194866404814521+0.443121439445364i</v>
      </c>
      <c r="AQ473" s="98">
        <f t="shared" si="306"/>
        <v>-7.0611541395159607</v>
      </c>
      <c r="AR473" s="169">
        <f t="shared" si="307"/>
        <v>92.518008080437269</v>
      </c>
      <c r="AS473" s="168" t="str">
        <f t="shared" si="308"/>
        <v>0.00761086915215305-0.0123962991821432i</v>
      </c>
      <c r="AT473" s="190">
        <f t="shared" si="309"/>
        <v>-36.744975490274769</v>
      </c>
      <c r="AU473" s="169">
        <f t="shared" si="310"/>
        <v>-58.451614176601694</v>
      </c>
      <c r="AV473" s="225"/>
      <c r="AX473">
        <f t="shared" si="311"/>
        <v>0</v>
      </c>
      <c r="AY473">
        <f t="shared" si="312"/>
        <v>0</v>
      </c>
    </row>
    <row r="474" spans="14:51" x14ac:dyDescent="0.25">
      <c r="N474" s="170">
        <v>56</v>
      </c>
      <c r="O474" s="199">
        <f t="shared" si="278"/>
        <v>363078.05477010203</v>
      </c>
      <c r="P474" s="189" t="str">
        <f t="shared" si="279"/>
        <v>87</v>
      </c>
      <c r="Q474" s="160" t="str">
        <f t="shared" si="280"/>
        <v>1+17109.6502431814i</v>
      </c>
      <c r="R474" s="160">
        <f t="shared" si="288"/>
        <v>17109.650272404673</v>
      </c>
      <c r="S474" s="160">
        <f t="shared" si="289"/>
        <v>1.5707378802466243</v>
      </c>
      <c r="T474" s="160" t="str">
        <f t="shared" si="281"/>
        <v>1+11.4064334954542i</v>
      </c>
      <c r="U474" s="160">
        <f t="shared" si="290"/>
        <v>11.450184500095164</v>
      </c>
      <c r="V474" s="160">
        <f t="shared" si="291"/>
        <v>1.4833500841484273</v>
      </c>
      <c r="W474" s="98" t="str">
        <f t="shared" si="282"/>
        <v>1-1.61591141185602i</v>
      </c>
      <c r="X474" s="160">
        <f t="shared" si="292"/>
        <v>1.9003077884823067</v>
      </c>
      <c r="Y474" s="160">
        <f t="shared" si="293"/>
        <v>-1.0166347447217576</v>
      </c>
      <c r="Z474" s="98" t="str">
        <f t="shared" si="283"/>
        <v>0.062572985915436+3.39455460824719i</v>
      </c>
      <c r="AA474" s="160">
        <f t="shared" si="294"/>
        <v>3.395131273888921</v>
      </c>
      <c r="AB474" s="160">
        <f t="shared" si="295"/>
        <v>1.5523650722135989</v>
      </c>
      <c r="AC474" s="171" t="str">
        <f t="shared" si="296"/>
        <v>-0.0288266897078289-0.0151987185761205i</v>
      </c>
      <c r="AD474" s="190">
        <f t="shared" si="297"/>
        <v>-29.738840359680616</v>
      </c>
      <c r="AE474" s="169">
        <f t="shared" si="298"/>
        <v>-152.19979897765347</v>
      </c>
      <c r="AF474" s="98" t="str">
        <f t="shared" si="284"/>
        <v>-0.0000673063927557778</v>
      </c>
      <c r="AG474" s="98" t="str">
        <f t="shared" si="285"/>
        <v>0.0229679944864467i</v>
      </c>
      <c r="AH474" s="98">
        <f t="shared" si="299"/>
        <v>2.2967994486446701E-2</v>
      </c>
      <c r="AI474" s="98">
        <f t="shared" si="300"/>
        <v>1.5707963267948966</v>
      </c>
      <c r="AJ474" s="98" t="str">
        <f t="shared" si="286"/>
        <v>1+23.111962982446i</v>
      </c>
      <c r="AK474" s="98">
        <f t="shared" si="301"/>
        <v>23.133586684774027</v>
      </c>
      <c r="AL474" s="98">
        <f t="shared" si="302"/>
        <v>1.5275556608537855</v>
      </c>
      <c r="AM474" s="98" t="str">
        <f t="shared" si="287"/>
        <v>1+3421.93004863627i</v>
      </c>
      <c r="AN474" s="98">
        <f t="shared" si="303"/>
        <v>3421.9301947526374</v>
      </c>
      <c r="AO474" s="98">
        <f t="shared" si="304"/>
        <v>1.5705040940615209</v>
      </c>
      <c r="AP474" s="168" t="str">
        <f t="shared" si="305"/>
        <v>-0.0186112360207175+0.433072640711027i</v>
      </c>
      <c r="AQ474" s="98">
        <f t="shared" si="306"/>
        <v>-7.2607717169990993</v>
      </c>
      <c r="AR474" s="169">
        <f t="shared" si="307"/>
        <v>92.460763959502756</v>
      </c>
      <c r="AS474" s="168" t="str">
        <f t="shared" si="308"/>
        <v>0.00711864951503264-0.0122011836960942i</v>
      </c>
      <c r="AT474" s="190">
        <f t="shared" si="309"/>
        <v>-36.999612076679718</v>
      </c>
      <c r="AU474" s="169">
        <f t="shared" si="310"/>
        <v>-59.739035018150702</v>
      </c>
      <c r="AV474" s="225"/>
      <c r="AX474">
        <f t="shared" si="311"/>
        <v>0</v>
      </c>
      <c r="AY474">
        <f t="shared" si="312"/>
        <v>0</v>
      </c>
    </row>
    <row r="475" spans="14:51" x14ac:dyDescent="0.25">
      <c r="N475" s="170">
        <v>57</v>
      </c>
      <c r="O475" s="199">
        <f t="shared" si="278"/>
        <v>371535.2290971732</v>
      </c>
      <c r="P475" s="189" t="str">
        <f t="shared" si="279"/>
        <v>87</v>
      </c>
      <c r="Q475" s="160" t="str">
        <f t="shared" si="280"/>
        <v>1+17508.1851942222i</v>
      </c>
      <c r="R475" s="160">
        <f t="shared" si="288"/>
        <v>17508.185222780266</v>
      </c>
      <c r="S475" s="160">
        <f t="shared" si="289"/>
        <v>1.5707392106524856</v>
      </c>
      <c r="T475" s="160" t="str">
        <f t="shared" si="281"/>
        <v>1+11.6721234628148i</v>
      </c>
      <c r="U475" s="160">
        <f t="shared" si="290"/>
        <v>11.714882249992602</v>
      </c>
      <c r="V475" s="160">
        <f t="shared" si="291"/>
        <v>1.4853308129974729</v>
      </c>
      <c r="W475" s="98" t="str">
        <f t="shared" si="282"/>
        <v>1-1.65355082389877i</v>
      </c>
      <c r="X475" s="160">
        <f t="shared" si="292"/>
        <v>1.932415671437256</v>
      </c>
      <c r="Y475" s="160">
        <f t="shared" si="293"/>
        <v>-1.026884793600285</v>
      </c>
      <c r="Z475" s="98" t="str">
        <f t="shared" si="283"/>
        <v>0.018393411837941+3.47362394253369i</v>
      </c>
      <c r="AA475" s="160">
        <f t="shared" si="294"/>
        <v>3.4736726402674072</v>
      </c>
      <c r="AB475" s="160">
        <f t="shared" si="295"/>
        <v>1.5655012113087177</v>
      </c>
      <c r="AC475" s="171" t="str">
        <f t="shared" si="296"/>
        <v>-0.0289627627377946-0.0144868355412868i</v>
      </c>
      <c r="AD475" s="190">
        <f t="shared" si="297"/>
        <v>-29.793445785724803</v>
      </c>
      <c r="AE475" s="169">
        <f t="shared" si="298"/>
        <v>-153.42631767067388</v>
      </c>
      <c r="AF475" s="98" t="str">
        <f t="shared" si="284"/>
        <v>-0.0000673063927557778</v>
      </c>
      <c r="AG475" s="98" t="str">
        <f t="shared" si="285"/>
        <v>0.0235029878047239i</v>
      </c>
      <c r="AH475" s="98">
        <f t="shared" si="299"/>
        <v>2.3502987804723902E-2</v>
      </c>
      <c r="AI475" s="98">
        <f t="shared" si="300"/>
        <v>1.5707963267948966</v>
      </c>
      <c r="AJ475" s="98" t="str">
        <f t="shared" si="286"/>
        <v>1+23.6503097577892i</v>
      </c>
      <c r="AK475" s="98">
        <f t="shared" si="301"/>
        <v>23.671441689077135</v>
      </c>
      <c r="AL475" s="98">
        <f t="shared" si="302"/>
        <v>1.5285387536299284</v>
      </c>
      <c r="AM475" s="98" t="str">
        <f t="shared" si="287"/>
        <v>1+3501.63703884444i</v>
      </c>
      <c r="AN475" s="98">
        <f t="shared" si="303"/>
        <v>3501.6371816347937</v>
      </c>
      <c r="AO475" s="98">
        <f t="shared" si="304"/>
        <v>1.5705107460902943</v>
      </c>
      <c r="AP475" s="168" t="str">
        <f t="shared" si="305"/>
        <v>-0.0177750873086212+0.423250058542625i</v>
      </c>
      <c r="AQ475" s="98">
        <f t="shared" si="306"/>
        <v>-7.4604064748899148</v>
      </c>
      <c r="AR475" s="169">
        <f t="shared" si="307"/>
        <v>92.404818025733888</v>
      </c>
      <c r="AS475" s="168" t="str">
        <f t="shared" si="308"/>
        <v>0.0066463696273102-0.0120009862577557i</v>
      </c>
      <c r="AT475" s="190">
        <f t="shared" si="309"/>
        <v>-37.253852260614721</v>
      </c>
      <c r="AU475" s="169">
        <f t="shared" si="310"/>
        <v>-61.021499644939972</v>
      </c>
      <c r="AV475" s="225"/>
      <c r="AX475">
        <f t="shared" si="311"/>
        <v>0</v>
      </c>
      <c r="AY475">
        <f t="shared" si="312"/>
        <v>0</v>
      </c>
    </row>
    <row r="476" spans="14:51" x14ac:dyDescent="0.25">
      <c r="N476" s="170">
        <v>58</v>
      </c>
      <c r="O476" s="199">
        <f t="shared" si="278"/>
        <v>380189.39632056188</v>
      </c>
      <c r="P476" s="189" t="str">
        <f t="shared" si="279"/>
        <v>87</v>
      </c>
      <c r="Q476" s="160" t="str">
        <f t="shared" si="280"/>
        <v>1+17916.0032168013i</v>
      </c>
      <c r="R476" s="160">
        <f t="shared" si="288"/>
        <v>17916.003244709307</v>
      </c>
      <c r="S476" s="160">
        <f t="shared" si="289"/>
        <v>1.5707405107746124</v>
      </c>
      <c r="T476" s="160" t="str">
        <f t="shared" si="281"/>
        <v>1+11.9440021445341i</v>
      </c>
      <c r="U476" s="160">
        <f t="shared" si="290"/>
        <v>11.985791055605599</v>
      </c>
      <c r="V476" s="160">
        <f t="shared" si="291"/>
        <v>1.4872671047543622</v>
      </c>
      <c r="W476" s="98" t="str">
        <f t="shared" si="282"/>
        <v>1-1.69206697047567i</v>
      </c>
      <c r="X476" s="160">
        <f t="shared" si="292"/>
        <v>1.9654746583394842</v>
      </c>
      <c r="Y476" s="160">
        <f t="shared" si="293"/>
        <v>-1.0370258284494263</v>
      </c>
      <c r="Z476" s="98" t="str">
        <f t="shared" si="283"/>
        <v>-0.0278682814193301+3.55453503821336i</v>
      </c>
      <c r="AA476" s="160">
        <f t="shared" si="294"/>
        <v>3.5546442830465779</v>
      </c>
      <c r="AB476" s="160">
        <f t="shared" si="295"/>
        <v>1.5786363706067599</v>
      </c>
      <c r="AC476" s="171" t="str">
        <f t="shared" si="296"/>
        <v>-0.0290831571591788-0.0137791817673535i</v>
      </c>
      <c r="AD476" s="190">
        <f t="shared" si="297"/>
        <v>-29.847677511546379</v>
      </c>
      <c r="AE476" s="169">
        <f t="shared" si="298"/>
        <v>-154.64907850436953</v>
      </c>
      <c r="AF476" s="98" t="str">
        <f t="shared" si="284"/>
        <v>-0.0000673063927557778</v>
      </c>
      <c r="AG476" s="98" t="str">
        <f t="shared" si="285"/>
        <v>0.024050442718234i</v>
      </c>
      <c r="AH476" s="98">
        <f t="shared" si="299"/>
        <v>2.4050442718233998E-2</v>
      </c>
      <c r="AI476" s="98">
        <f t="shared" si="300"/>
        <v>1.5707963267948966</v>
      </c>
      <c r="AJ476" s="98" t="str">
        <f t="shared" si="286"/>
        <v>1+24.2011962404148i</v>
      </c>
      <c r="AK476" s="98">
        <f t="shared" si="301"/>
        <v>24.221847565102614</v>
      </c>
      <c r="AL476" s="98">
        <f t="shared" si="302"/>
        <v>1.5294995474635196</v>
      </c>
      <c r="AM476" s="98" t="str">
        <f t="shared" si="287"/>
        <v>1+3583.20064336024i</v>
      </c>
      <c r="AN476" s="98">
        <f t="shared" si="303"/>
        <v>3583.2007829002887</v>
      </c>
      <c r="AO476" s="98">
        <f t="shared" si="304"/>
        <v>1.5705172467004311</v>
      </c>
      <c r="AP476" s="168" t="str">
        <f t="shared" si="305"/>
        <v>-0.0169764401776474+0.413648711295887i</v>
      </c>
      <c r="AQ476" s="98">
        <f t="shared" si="306"/>
        <v>-7.6600576427043094</v>
      </c>
      <c r="AR476" s="169">
        <f t="shared" si="307"/>
        <v>92.350141051612013</v>
      </c>
      <c r="AS476" s="168" t="str">
        <f t="shared" si="308"/>
        <v>0.00619346925846747-0.0117962890243397i</v>
      </c>
      <c r="AT476" s="190">
        <f t="shared" si="309"/>
        <v>-37.507735154250661</v>
      </c>
      <c r="AU476" s="169">
        <f t="shared" si="310"/>
        <v>-62.298937452757635</v>
      </c>
      <c r="AV476" s="225"/>
      <c r="AX476">
        <f t="shared" si="311"/>
        <v>0</v>
      </c>
      <c r="AY476">
        <f t="shared" si="312"/>
        <v>0</v>
      </c>
    </row>
    <row r="477" spans="14:51" x14ac:dyDescent="0.25">
      <c r="N477" s="170">
        <v>59</v>
      </c>
      <c r="O477" s="199">
        <f t="shared" si="278"/>
        <v>389045.14499428123</v>
      </c>
      <c r="P477" s="189" t="str">
        <f t="shared" si="279"/>
        <v>87</v>
      </c>
      <c r="Q477" s="160" t="str">
        <f t="shared" si="280"/>
        <v>1+18333.3205414322i</v>
      </c>
      <c r="R477" s="160">
        <f t="shared" si="288"/>
        <v>18333.320568704945</v>
      </c>
      <c r="S477" s="160">
        <f t="shared" si="289"/>
        <v>1.5707417813023468</v>
      </c>
      <c r="T477" s="160" t="str">
        <f t="shared" si="281"/>
        <v>1+12.2222136942881i</v>
      </c>
      <c r="U477" s="160">
        <f t="shared" si="290"/>
        <v>12.263054578237982</v>
      </c>
      <c r="V477" s="160">
        <f t="shared" si="291"/>
        <v>1.4891599279575807</v>
      </c>
      <c r="W477" s="98" t="str">
        <f t="shared" si="282"/>
        <v>1-1.73148027335748i</v>
      </c>
      <c r="X477" s="160">
        <f t="shared" si="292"/>
        <v>1.9995059232285592</v>
      </c>
      <c r="Y477" s="160">
        <f t="shared" si="293"/>
        <v>-1.047054882398595</v>
      </c>
      <c r="Z477" s="98" t="str">
        <f t="shared" si="283"/>
        <v>-0.0763102211102+3.63733079542014i</v>
      </c>
      <c r="AA477" s="160">
        <f t="shared" si="294"/>
        <v>3.6381311913065471</v>
      </c>
      <c r="AB477" s="160">
        <f t="shared" si="295"/>
        <v>1.5917729803903093</v>
      </c>
      <c r="AC477" s="171" t="str">
        <f t="shared" si="296"/>
        <v>-0.0291880051988045-0.0130759970293915i</v>
      </c>
      <c r="AD477" s="190">
        <f t="shared" si="297"/>
        <v>-29.90157758662335</v>
      </c>
      <c r="AE477" s="169">
        <f t="shared" si="298"/>
        <v>-155.86799528084171</v>
      </c>
      <c r="AF477" s="98" t="str">
        <f t="shared" si="284"/>
        <v>-0.0000673063927557778</v>
      </c>
      <c r="AG477" s="98" t="str">
        <f t="shared" si="285"/>
        <v>0.0246106494948185i</v>
      </c>
      <c r="AH477" s="98">
        <f t="shared" si="299"/>
        <v>2.46106494948185E-2</v>
      </c>
      <c r="AI477" s="98">
        <f t="shared" si="300"/>
        <v>1.5707963267948966</v>
      </c>
      <c r="AJ477" s="98" t="str">
        <f t="shared" si="286"/>
        <v>1+24.7649145176278i</v>
      </c>
      <c r="AK477" s="98">
        <f t="shared" si="301"/>
        <v>24.785096147996118</v>
      </c>
      <c r="AL477" s="98">
        <f t="shared" si="302"/>
        <v>1.5304385446806628</v>
      </c>
      <c r="AM477" s="98" t="str">
        <f t="shared" si="287"/>
        <v>1+3666.66410828643i</v>
      </c>
      <c r="AN477" s="98">
        <f t="shared" si="303"/>
        <v>3666.6642446501587</v>
      </c>
      <c r="AO477" s="98">
        <f t="shared" si="304"/>
        <v>1.5705235993386384</v>
      </c>
      <c r="AP477" s="168" t="str">
        <f t="shared" si="305"/>
        <v>-0.016213618303594+0.404263719602757i</v>
      </c>
      <c r="AQ477" s="98">
        <f t="shared" si="306"/>
        <v>-7.8597244843932748</v>
      </c>
      <c r="AR477" s="169">
        <f t="shared" si="307"/>
        <v>92.296704453453231</v>
      </c>
      <c r="AS477" s="168" t="str">
        <f t="shared" si="308"/>
        <v>0.00575939437195314-0.0115876423246798i</v>
      </c>
      <c r="AT477" s="190">
        <f t="shared" si="309"/>
        <v>-37.761302071016644</v>
      </c>
      <c r="AU477" s="169">
        <f t="shared" si="310"/>
        <v>-63.571290827388431</v>
      </c>
      <c r="AV477" s="225"/>
      <c r="AX477">
        <f t="shared" si="311"/>
        <v>0</v>
      </c>
      <c r="AY477">
        <f t="shared" si="312"/>
        <v>0</v>
      </c>
    </row>
    <row r="478" spans="14:51" x14ac:dyDescent="0.25">
      <c r="N478" s="170">
        <v>60</v>
      </c>
      <c r="O478" s="199">
        <f t="shared" si="278"/>
        <v>398107.17055349716</v>
      </c>
      <c r="P478" s="189" t="str">
        <f t="shared" si="279"/>
        <v>87</v>
      </c>
      <c r="Q478" s="160" t="str">
        <f t="shared" si="280"/>
        <v>1+18760.3584352843i</v>
      </c>
      <c r="R478" s="160">
        <f t="shared" si="288"/>
        <v>18760.358461936241</v>
      </c>
      <c r="S478" s="160">
        <f t="shared" si="289"/>
        <v>1.5707430229093391</v>
      </c>
      <c r="T478" s="160" t="str">
        <f t="shared" si="281"/>
        <v>1+12.5069056235229i</v>
      </c>
      <c r="U478" s="160">
        <f t="shared" si="290"/>
        <v>12.546819847105033</v>
      </c>
      <c r="V478" s="160">
        <f t="shared" si="291"/>
        <v>1.4910102319243006</v>
      </c>
      <c r="W478" s="98" t="str">
        <f t="shared" si="282"/>
        <v>1-1.77181162999907i</v>
      </c>
      <c r="X478" s="160">
        <f t="shared" si="292"/>
        <v>2.0345310152956531</v>
      </c>
      <c r="Y478" s="160">
        <f t="shared" si="293"/>
        <v>-1.0569692024763735</v>
      </c>
      <c r="Z478" s="98" t="str">
        <f t="shared" si="283"/>
        <v>-0.12703515908346+3.7220551135604i</v>
      </c>
      <c r="AA478" s="160">
        <f t="shared" si="294"/>
        <v>3.7242223617856762</v>
      </c>
      <c r="AB478" s="160">
        <f t="shared" si="295"/>
        <v>1.6049134644052032</v>
      </c>
      <c r="AC478" s="171" t="str">
        <f t="shared" si="296"/>
        <v>-0.0292774381193547-0.012377515310351i</v>
      </c>
      <c r="AD478" s="190">
        <f t="shared" si="297"/>
        <v>-29.95519012301417</v>
      </c>
      <c r="AE478" s="169">
        <f t="shared" si="298"/>
        <v>-157.0829947835839</v>
      </c>
      <c r="AF478" s="98" t="str">
        <f t="shared" si="284"/>
        <v>-0.0000673063927557778</v>
      </c>
      <c r="AG478" s="98" t="str">
        <f t="shared" si="285"/>
        <v>0.0251839051635256i</v>
      </c>
      <c r="AH478" s="98">
        <f t="shared" si="299"/>
        <v>2.5183905163525599E-2</v>
      </c>
      <c r="AI478" s="98">
        <f t="shared" si="300"/>
        <v>1.5707963267948966</v>
      </c>
      <c r="AJ478" s="98" t="str">
        <f t="shared" si="286"/>
        <v>1+25.3417634803204i</v>
      </c>
      <c r="AK478" s="98">
        <f t="shared" si="301"/>
        <v>25.361486082098985</v>
      </c>
      <c r="AL478" s="98">
        <f t="shared" si="302"/>
        <v>1.5313562365229063</v>
      </c>
      <c r="AM478" s="98" t="str">
        <f t="shared" si="287"/>
        <v>1+3752.07168705685i</v>
      </c>
      <c r="AN478" s="98">
        <f t="shared" si="303"/>
        <v>3752.0718203165616</v>
      </c>
      <c r="AO478" s="98">
        <f t="shared" si="304"/>
        <v>1.5705298073731671</v>
      </c>
      <c r="AP478" s="168" t="str">
        <f t="shared" si="305"/>
        <v>-0.0154850197989213+0.39509030477774i</v>
      </c>
      <c r="AQ478" s="98">
        <f t="shared" si="306"/>
        <v>-8.0594062968144424</v>
      </c>
      <c r="AR478" s="169">
        <f t="shared" si="307"/>
        <v>92.244480278176653</v>
      </c>
      <c r="AS478" s="168" t="str">
        <f t="shared" si="308"/>
        <v>0.00534359800529762-0.011375565880045i</v>
      </c>
      <c r="AT478" s="190">
        <f t="shared" si="309"/>
        <v>-38.014596419828635</v>
      </c>
      <c r="AU478" s="169">
        <f t="shared" si="310"/>
        <v>-64.83851450540719</v>
      </c>
      <c r="AV478" s="225"/>
      <c r="AX478">
        <f t="shared" si="311"/>
        <v>0</v>
      </c>
      <c r="AY478">
        <f t="shared" si="312"/>
        <v>0</v>
      </c>
    </row>
    <row r="479" spans="14:51" x14ac:dyDescent="0.25">
      <c r="N479" s="170">
        <v>61</v>
      </c>
      <c r="O479" s="199">
        <f t="shared" si="278"/>
        <v>407380.27780411334</v>
      </c>
      <c r="P479" s="189" t="str">
        <f t="shared" si="279"/>
        <v>87</v>
      </c>
      <c r="Q479" s="160" t="str">
        <f t="shared" si="280"/>
        <v>1+19197.3433195016i</v>
      </c>
      <c r="R479" s="160">
        <f t="shared" si="288"/>
        <v>19197.343345546869</v>
      </c>
      <c r="S479" s="160">
        <f t="shared" si="289"/>
        <v>1.5707442362539059</v>
      </c>
      <c r="T479" s="160" t="str">
        <f t="shared" si="281"/>
        <v>1+12.7982288796677i</v>
      </c>
      <c r="U479" s="160">
        <f t="shared" si="290"/>
        <v>12.837237337385345</v>
      </c>
      <c r="V479" s="160">
        <f t="shared" si="291"/>
        <v>1.4928189470039586</v>
      </c>
      <c r="W479" s="98" t="str">
        <f t="shared" si="282"/>
        <v>1-1.81308242461959i</v>
      </c>
      <c r="X479" s="160">
        <f t="shared" si="292"/>
        <v>2.0705718723252402</v>
      </c>
      <c r="Y479" s="160">
        <f t="shared" si="293"/>
        <v>-1.066766248615572</v>
      </c>
      <c r="Z479" s="98" t="str">
        <f t="shared" si="283"/>
        <v>-0.18015068973338+3.80875291458911i</v>
      </c>
      <c r="AA479" s="160">
        <f t="shared" si="294"/>
        <v>3.8130110195752716</v>
      </c>
      <c r="AB479" s="160">
        <f t="shared" si="295"/>
        <v>1.6180602289157267</v>
      </c>
      <c r="AC479" s="171" t="str">
        <f t="shared" si="296"/>
        <v>-0.0293515859795937-0.0116839657449265i</v>
      </c>
      <c r="AD479" s="190">
        <f t="shared" si="297"/>
        <v>-30.008561189201465</v>
      </c>
      <c r="AE479" s="169">
        <f t="shared" si="298"/>
        <v>-158.29401607887698</v>
      </c>
      <c r="AF479" s="98" t="str">
        <f t="shared" si="284"/>
        <v>-0.0000673063927557778</v>
      </c>
      <c r="AG479" s="98" t="str">
        <f t="shared" si="285"/>
        <v>0.0257705136720989i</v>
      </c>
      <c r="AH479" s="98">
        <f t="shared" si="299"/>
        <v>2.5770513672098899E-2</v>
      </c>
      <c r="AI479" s="98">
        <f t="shared" si="300"/>
        <v>1.5707963267948966</v>
      </c>
      <c r="AJ479" s="98" t="str">
        <f t="shared" si="286"/>
        <v>1+25.9320489814483i</v>
      </c>
      <c r="AK479" s="98">
        <f t="shared" si="301"/>
        <v>25.951322979305576</v>
      </c>
      <c r="AL479" s="98">
        <f t="shared" si="302"/>
        <v>1.532253103376352</v>
      </c>
      <c r="AM479" s="98" t="str">
        <f t="shared" si="287"/>
        <v>1+3839.46866390031i</v>
      </c>
      <c r="AN479" s="98">
        <f t="shared" si="303"/>
        <v>3839.4687941266602</v>
      </c>
      <c r="AO479" s="98">
        <f t="shared" si="304"/>
        <v>1.5705358740955973</v>
      </c>
      <c r="AP479" s="168" t="str">
        <f t="shared" si="305"/>
        <v>-0.0147891139509722+0.386123787212357i</v>
      </c>
      <c r="AQ479" s="98">
        <f t="shared" si="306"/>
        <v>-8.2591024082702429</v>
      </c>
      <c r="AR479" s="169">
        <f t="shared" si="307"/>
        <v>92.193441190279742</v>
      </c>
      <c r="AS479" s="168" t="str">
        <f t="shared" si="308"/>
        <v>0.00494554105278444-0.0111605500383289i</v>
      </c>
      <c r="AT479" s="190">
        <f t="shared" si="309"/>
        <v>-38.267663597471682</v>
      </c>
      <c r="AU479" s="169">
        <f t="shared" si="310"/>
        <v>-66.100574888597265</v>
      </c>
      <c r="AV479" s="225"/>
      <c r="AX479">
        <f t="shared" si="311"/>
        <v>0</v>
      </c>
      <c r="AY479">
        <f t="shared" si="312"/>
        <v>0</v>
      </c>
    </row>
    <row r="480" spans="14:51" x14ac:dyDescent="0.25">
      <c r="N480" s="170">
        <v>62</v>
      </c>
      <c r="O480" s="199">
        <f t="shared" si="278"/>
        <v>416869.38347033598</v>
      </c>
      <c r="P480" s="189" t="str">
        <f t="shared" si="279"/>
        <v>87</v>
      </c>
      <c r="Q480" s="160" t="str">
        <f t="shared" si="280"/>
        <v>1+19644.5068892538i</v>
      </c>
      <c r="R480" s="160">
        <f t="shared" si="288"/>
        <v>19644.506914706206</v>
      </c>
      <c r="S480" s="160">
        <f t="shared" si="289"/>
        <v>1.5707454219793788</v>
      </c>
      <c r="T480" s="160" t="str">
        <f t="shared" si="281"/>
        <v>1+13.0963379261692i</v>
      </c>
      <c r="U480" s="160">
        <f t="shared" si="290"/>
        <v>13.134461050093293</v>
      </c>
      <c r="V480" s="160">
        <f t="shared" si="291"/>
        <v>1.4945869848378406</v>
      </c>
      <c r="W480" s="98" t="str">
        <f t="shared" si="282"/>
        <v>1-1.85531453954063i</v>
      </c>
      <c r="X480" s="160">
        <f t="shared" si="292"/>
        <v>2.1076508346096752</v>
      </c>
      <c r="Y480" s="160">
        <f t="shared" si="293"/>
        <v>-1.0764436919000082</v>
      </c>
      <c r="Z480" s="98" t="str">
        <f t="shared" si="283"/>
        <v>-0.23576947822179+3.89747016682794i</v>
      </c>
      <c r="AA480" s="160">
        <f t="shared" si="294"/>
        <v>3.9045948507079178</v>
      </c>
      <c r="AB480" s="160">
        <f t="shared" si="295"/>
        <v>1.6312156517785896</v>
      </c>
      <c r="AC480" s="171" t="str">
        <f t="shared" si="296"/>
        <v>-0.0294105774976658-0.0109955735592626i</v>
      </c>
      <c r="AD480" s="190">
        <f t="shared" si="297"/>
        <v>-30.061738702476767</v>
      </c>
      <c r="AE480" s="169">
        <f t="shared" si="298"/>
        <v>-159.50100977446866</v>
      </c>
      <c r="AF480" s="98" t="str">
        <f t="shared" si="284"/>
        <v>-0.0000673063927557778</v>
      </c>
      <c r="AG480" s="98" t="str">
        <f t="shared" si="285"/>
        <v>0.0263707860481342i</v>
      </c>
      <c r="AH480" s="98">
        <f t="shared" si="299"/>
        <v>2.6370786048134202E-2</v>
      </c>
      <c r="AI480" s="98">
        <f t="shared" si="300"/>
        <v>1.5707963267948966</v>
      </c>
      <c r="AJ480" s="98" t="str">
        <f t="shared" si="286"/>
        <v>1+26.5360839981973i</v>
      </c>
      <c r="AK480" s="98">
        <f t="shared" si="301"/>
        <v>26.554919581113076</v>
      </c>
      <c r="AL480" s="98">
        <f t="shared" si="302"/>
        <v>1.5331296149970806</v>
      </c>
      <c r="AM480" s="98" t="str">
        <f t="shared" si="287"/>
        <v>1+3928.90137785074i</v>
      </c>
      <c r="AN480" s="98">
        <f t="shared" si="303"/>
        <v>3928.9015051127772</v>
      </c>
      <c r="AO480" s="98">
        <f t="shared" si="304"/>
        <v>1.5705418027225839</v>
      </c>
      <c r="AP480" s="168" t="str">
        <f t="shared" si="305"/>
        <v>-0.0141244380992784+0.377359584761079i</v>
      </c>
      <c r="AQ480" s="98">
        <f t="shared" si="306"/>
        <v>-8.4588121771104401</v>
      </c>
      <c r="AR480" s="169">
        <f t="shared" si="307"/>
        <v>92.143560459022467</v>
      </c>
      <c r="AS480" s="168" t="str">
        <f t="shared" si="308"/>
        <v>0.00456469295386304-0.0109430570139988i</v>
      </c>
      <c r="AT480" s="190">
        <f t="shared" si="309"/>
        <v>-38.520550879587226</v>
      </c>
      <c r="AU480" s="169">
        <f t="shared" si="310"/>
        <v>-67.357449315446132</v>
      </c>
      <c r="AV480" s="225"/>
      <c r="AX480">
        <f t="shared" si="311"/>
        <v>0</v>
      </c>
      <c r="AY480">
        <f t="shared" si="312"/>
        <v>0</v>
      </c>
    </row>
    <row r="481" spans="14:51" x14ac:dyDescent="0.25">
      <c r="N481" s="170">
        <v>63</v>
      </c>
      <c r="O481" s="199">
        <f t="shared" si="278"/>
        <v>426579.51880159322</v>
      </c>
      <c r="P481" s="189" t="str">
        <f t="shared" si="279"/>
        <v>87</v>
      </c>
      <c r="Q481" s="160" t="str">
        <f t="shared" si="280"/>
        <v>1+20102.0862365844i</v>
      </c>
      <c r="R481" s="160">
        <f t="shared" si="288"/>
        <v>20102.08626145744</v>
      </c>
      <c r="S481" s="160">
        <f t="shared" si="289"/>
        <v>1.5707465807144447</v>
      </c>
      <c r="T481" s="160" t="str">
        <f t="shared" si="281"/>
        <v>1+13.4013908243896i</v>
      </c>
      <c r="U481" s="160">
        <f t="shared" si="290"/>
        <v>13.43864859381455</v>
      </c>
      <c r="V481" s="160">
        <f t="shared" si="291"/>
        <v>1.4963152386238052</v>
      </c>
      <c r="W481" s="98" t="str">
        <f t="shared" si="282"/>
        <v>1-1.89853036678852i</v>
      </c>
      <c r="X481" s="160">
        <f t="shared" si="292"/>
        <v>2.1457906593184135</v>
      </c>
      <c r="Y481" s="160">
        <f t="shared" si="293"/>
        <v>-1.0859994121035859</v>
      </c>
      <c r="Z481" s="98" t="str">
        <f t="shared" si="283"/>
        <v>-0.294009499456+3.98825390933833i</v>
      </c>
      <c r="AA481" s="160">
        <f t="shared" si="294"/>
        <v>3.9990762472254562</v>
      </c>
      <c r="AB481" s="160">
        <f t="shared" si="295"/>
        <v>1.6443820715480568</v>
      </c>
      <c r="AC481" s="171" t="str">
        <f t="shared" si="296"/>
        <v>-0.0294545400156042-0.0103125609985393i</v>
      </c>
      <c r="AD481" s="190">
        <f t="shared" si="297"/>
        <v>-30.114772320253479</v>
      </c>
      <c r="AE481" s="169">
        <f t="shared" si="298"/>
        <v>-160.70393723919531</v>
      </c>
      <c r="AF481" s="98" t="str">
        <f t="shared" si="284"/>
        <v>-0.0000673063927557778</v>
      </c>
      <c r="AG481" s="98" t="str">
        <f t="shared" si="285"/>
        <v>0.0269850405639908i</v>
      </c>
      <c r="AH481" s="98">
        <f t="shared" si="299"/>
        <v>2.69850405639908E-2</v>
      </c>
      <c r="AI481" s="98">
        <f t="shared" si="300"/>
        <v>1.5707963267948966</v>
      </c>
      <c r="AJ481" s="98" t="str">
        <f t="shared" si="286"/>
        <v>1+27.1541887979288i</v>
      </c>
      <c r="AK481" s="98">
        <f t="shared" si="301"/>
        <v>27.172595924452303</v>
      </c>
      <c r="AL481" s="98">
        <f t="shared" si="302"/>
        <v>1.5339862307328824</v>
      </c>
      <c r="AM481" s="98" t="str">
        <f t="shared" si="287"/>
        <v>1+4020.41724731686i</v>
      </c>
      <c r="AN481" s="98">
        <f t="shared" si="303"/>
        <v>4020.4173716820592</v>
      </c>
      <c r="AO481" s="98">
        <f t="shared" si="304"/>
        <v>1.5705475963975617</v>
      </c>
      <c r="AP481" s="168" t="str">
        <f t="shared" si="305"/>
        <v>-0.0134895946463618+0.368793211121873i</v>
      </c>
      <c r="AQ481" s="98">
        <f t="shared" si="306"/>
        <v>-8.6585349903959337</v>
      </c>
      <c r="AR481" s="169">
        <f t="shared" si="307"/>
        <v>92.094811945820624</v>
      </c>
      <c r="AS481" s="168" t="str">
        <f t="shared" si="308"/>
        <v>0.00420053229084704-0.0107235221268362i</v>
      </c>
      <c r="AT481" s="190">
        <f t="shared" si="309"/>
        <v>-38.773307310649415</v>
      </c>
      <c r="AU481" s="169">
        <f t="shared" si="310"/>
        <v>-68.609125293374717</v>
      </c>
      <c r="AV481" s="225"/>
      <c r="AX481">
        <f t="shared" si="311"/>
        <v>0</v>
      </c>
      <c r="AY481">
        <f t="shared" si="312"/>
        <v>0</v>
      </c>
    </row>
    <row r="482" spans="14:51" x14ac:dyDescent="0.25">
      <c r="N482" s="170">
        <v>64</v>
      </c>
      <c r="O482" s="199">
        <f t="shared" si="278"/>
        <v>436515.83224016649</v>
      </c>
      <c r="P482" s="189" t="str">
        <f t="shared" si="279"/>
        <v>87</v>
      </c>
      <c r="Q482" s="160" t="str">
        <f t="shared" si="280"/>
        <v>1+20570.3239761202i</v>
      </c>
      <c r="R482" s="160">
        <f t="shared" si="288"/>
        <v>20570.324000427059</v>
      </c>
      <c r="S482" s="160">
        <f t="shared" si="289"/>
        <v>1.5707477130734806</v>
      </c>
      <c r="T482" s="160" t="str">
        <f t="shared" si="281"/>
        <v>1+13.7135493174134i</v>
      </c>
      <c r="U482" s="160">
        <f t="shared" si="290"/>
        <v>13.749961268350161</v>
      </c>
      <c r="V482" s="160">
        <f t="shared" si="291"/>
        <v>1.4980045833853459</v>
      </c>
      <c r="W482" s="98" t="str">
        <f t="shared" si="282"/>
        <v>1-1.9427528199669i</v>
      </c>
      <c r="X482" s="160">
        <f t="shared" si="292"/>
        <v>2.1850145353039054</v>
      </c>
      <c r="Y482" s="160">
        <f t="shared" si="293"/>
        <v>-1.0954314945744361</v>
      </c>
      <c r="Z482" s="98" t="str">
        <f t="shared" si="283"/>
        <v>-0.35499428832943+4.08115227686223i</v>
      </c>
      <c r="AA482" s="160">
        <f t="shared" si="294"/>
        <v>4.0965625653325839</v>
      </c>
      <c r="AB482" s="160">
        <f t="shared" si="295"/>
        <v>1.6575617766253155</v>
      </c>
      <c r="AC482" s="171" t="str">
        <f t="shared" si="296"/>
        <v>-0.0294835995627805-0.0096351482346719i</v>
      </c>
      <c r="AD482" s="190">
        <f t="shared" si="297"/>
        <v>-30.167713330629994</v>
      </c>
      <c r="AE482" s="169">
        <f t="shared" si="298"/>
        <v>-161.90276978736304</v>
      </c>
      <c r="AF482" s="98" t="str">
        <f t="shared" si="284"/>
        <v>-0.0000673063927557778</v>
      </c>
      <c r="AG482" s="98" t="str">
        <f t="shared" si="285"/>
        <v>0.0276136029055437i</v>
      </c>
      <c r="AH482" s="98">
        <f t="shared" si="299"/>
        <v>2.76136029055437E-2</v>
      </c>
      <c r="AI482" s="98">
        <f t="shared" si="300"/>
        <v>1.5707963267948966</v>
      </c>
      <c r="AJ482" s="98" t="str">
        <f t="shared" si="286"/>
        <v>1+27.786691107989i</v>
      </c>
      <c r="AK482" s="98">
        <f t="shared" si="301"/>
        <v>27.804679511384318</v>
      </c>
      <c r="AL482" s="98">
        <f t="shared" si="302"/>
        <v>1.5348233997412766</v>
      </c>
      <c r="AM482" s="98" t="str">
        <f t="shared" si="287"/>
        <v>1+4114.06479522402i</v>
      </c>
      <c r="AN482" s="98">
        <f t="shared" si="303"/>
        <v>4114.0649167583215</v>
      </c>
      <c r="AO482" s="98">
        <f t="shared" si="304"/>
        <v>1.5705532581924122</v>
      </c>
      <c r="AP482" s="168" t="str">
        <f t="shared" si="305"/>
        <v>-0.0128832481966407+0.360420274214229i</v>
      </c>
      <c r="AQ482" s="98">
        <f t="shared" si="306"/>
        <v>-8.8582702626211702</v>
      </c>
      <c r="AR482" s="169">
        <f t="shared" si="307"/>
        <v>92.047170091849893</v>
      </c>
      <c r="AS482" s="168" t="str">
        <f t="shared" si="308"/>
        <v>0.00385254729973286-0.0105023550331212i</v>
      </c>
      <c r="AT482" s="190">
        <f t="shared" si="309"/>
        <v>-39.025983593251141</v>
      </c>
      <c r="AU482" s="169">
        <f t="shared" si="310"/>
        <v>-69.855599695513177</v>
      </c>
      <c r="AV482" s="225"/>
      <c r="AX482">
        <f t="shared" si="311"/>
        <v>0</v>
      </c>
      <c r="AY482">
        <f t="shared" si="312"/>
        <v>0</v>
      </c>
    </row>
    <row r="483" spans="14:51" x14ac:dyDescent="0.25">
      <c r="N483" s="170">
        <v>65</v>
      </c>
      <c r="O483" s="199">
        <f t="shared" si="278"/>
        <v>446683.59215096442</v>
      </c>
      <c r="P483" s="189" t="str">
        <f t="shared" si="279"/>
        <v>87</v>
      </c>
      <c r="Q483" s="160" t="str">
        <f t="shared" si="280"/>
        <v>1+21049.4683737086i</v>
      </c>
      <c r="R483" s="160">
        <f t="shared" si="288"/>
        <v>21049.468397462169</v>
      </c>
      <c r="S483" s="160">
        <f t="shared" si="289"/>
        <v>1.570748819656878</v>
      </c>
      <c r="T483" s="160" t="str">
        <f t="shared" si="281"/>
        <v>1+14.0329789158057i</v>
      </c>
      <c r="U483" s="160">
        <f t="shared" si="290"/>
        <v>14.068564150312117</v>
      </c>
      <c r="V483" s="160">
        <f t="shared" si="291"/>
        <v>1.4996558762442342</v>
      </c>
      <c r="W483" s="98" t="str">
        <f t="shared" si="282"/>
        <v>1-1.98800534640581i</v>
      </c>
      <c r="X483" s="160">
        <f t="shared" si="292"/>
        <v>2.225346098326749</v>
      </c>
      <c r="Y483" s="160">
        <f t="shared" si="293"/>
        <v>-1.1047382265184205</v>
      </c>
      <c r="Z483" s="98" t="str">
        <f t="shared" si="283"/>
        <v>-0.41885320175566+4.17621452534378i</v>
      </c>
      <c r="AA483" s="160">
        <f t="shared" si="294"/>
        <v>4.1971663972629605</v>
      </c>
      <c r="AB483" s="160">
        <f t="shared" si="295"/>
        <v>1.6707569944662062</v>
      </c>
      <c r="AC483" s="171" t="str">
        <f t="shared" si="296"/>
        <v>-0.0294978810156188-0.00896355424653629i</v>
      </c>
      <c r="AD483" s="190">
        <f t="shared" si="297"/>
        <v>-30.220614542464752</v>
      </c>
      <c r="AE483" s="169">
        <f t="shared" si="298"/>
        <v>-163.09748783185574</v>
      </c>
      <c r="AF483" s="98" t="str">
        <f t="shared" si="284"/>
        <v>-0.0000673063927557778</v>
      </c>
      <c r="AG483" s="98" t="str">
        <f t="shared" si="285"/>
        <v>0.0282568063448663i</v>
      </c>
      <c r="AH483" s="98">
        <f t="shared" si="299"/>
        <v>2.8256806344866301E-2</v>
      </c>
      <c r="AI483" s="98">
        <f t="shared" si="300"/>
        <v>1.5707963267948966</v>
      </c>
      <c r="AJ483" s="98" t="str">
        <f t="shared" si="286"/>
        <v>1+28.4339262894752i</v>
      </c>
      <c r="AK483" s="98">
        <f t="shared" si="301"/>
        <v>28.45150548275625</v>
      </c>
      <c r="AL483" s="98">
        <f t="shared" si="302"/>
        <v>1.5356415612038203</v>
      </c>
      <c r="AM483" s="98" t="str">
        <f t="shared" si="287"/>
        <v>1+4209.89367474171i</v>
      </c>
      <c r="AN483" s="98">
        <f t="shared" si="303"/>
        <v>4209.8937935095537</v>
      </c>
      <c r="AO483" s="98">
        <f t="shared" si="304"/>
        <v>1.5705587911090926</v>
      </c>
      <c r="AP483" s="168" t="str">
        <f t="shared" si="305"/>
        <v>-0.0123041228182292+0.352236474557266i</v>
      </c>
      <c r="AQ483" s="98">
        <f t="shared" si="306"/>
        <v>-9.0580174344930935</v>
      </c>
      <c r="AR483" s="169">
        <f t="shared" si="307"/>
        <v>92.000609905860088</v>
      </c>
      <c r="AS483" s="168" t="str">
        <f t="shared" si="308"/>
        <v>0.00352023629819644-0.010279940943514i</v>
      </c>
      <c r="AT483" s="190">
        <f t="shared" si="309"/>
        <v>-39.278631976957861</v>
      </c>
      <c r="AU483" s="169">
        <f t="shared" si="310"/>
        <v>-71.096877925995614</v>
      </c>
      <c r="AV483" s="225"/>
      <c r="AX483">
        <f t="shared" si="311"/>
        <v>0</v>
      </c>
      <c r="AY483">
        <f t="shared" si="312"/>
        <v>0</v>
      </c>
    </row>
    <row r="484" spans="14:51" x14ac:dyDescent="0.25">
      <c r="N484" s="170">
        <v>66</v>
      </c>
      <c r="O484" s="199">
        <f t="shared" ref="O484:O518" si="313">10^(5+(N484/100))</f>
        <v>457088.18961487547</v>
      </c>
      <c r="P484" s="189" t="str">
        <f t="shared" si="279"/>
        <v>87</v>
      </c>
      <c r="Q484" s="160" t="str">
        <f t="shared" si="280"/>
        <v>1+21539.7734780513i</v>
      </c>
      <c r="R484" s="160">
        <f t="shared" si="288"/>
        <v>21539.773501264172</v>
      </c>
      <c r="S484" s="160">
        <f t="shared" si="289"/>
        <v>1.5707499010513621</v>
      </c>
      <c r="T484" s="160" t="str">
        <f t="shared" si="281"/>
        <v>1+14.3598489853675i</v>
      </c>
      <c r="U484" s="160">
        <f t="shared" si="290"/>
        <v>14.394626180716193</v>
      </c>
      <c r="V484" s="160">
        <f t="shared" si="291"/>
        <v>1.5012699566960563</v>
      </c>
      <c r="W484" s="98" t="str">
        <f t="shared" si="282"/>
        <v>1-2.03431193959373i</v>
      </c>
      <c r="X484" s="160">
        <f t="shared" si="292"/>
        <v>2.2668094466835105</v>
      </c>
      <c r="Y484" s="160">
        <f t="shared" si="293"/>
        <v>-1.1139180927371746</v>
      </c>
      <c r="Z484" s="98" t="str">
        <f t="shared" si="283"/>
        <v>-0.48572169305177+4.27349105804537i</v>
      </c>
      <c r="AA484" s="160">
        <f t="shared" si="294"/>
        <v>4.3010058575052899</v>
      </c>
      <c r="AB484" s="160">
        <f t="shared" si="295"/>
        <v>1.6839698808628136</v>
      </c>
      <c r="AC484" s="171" t="str">
        <f t="shared" si="296"/>
        <v>-0.0294975083505025-0.0082979976653149i</v>
      </c>
      <c r="AD484" s="190">
        <f t="shared" si="297"/>
        <v>-30.273530175163156</v>
      </c>
      <c r="AE484" s="169">
        <f t="shared" si="298"/>
        <v>-164.28808001005237</v>
      </c>
      <c r="AF484" s="98" t="str">
        <f t="shared" si="284"/>
        <v>-0.0000673063927557778</v>
      </c>
      <c r="AG484" s="98" t="str">
        <f t="shared" si="285"/>
        <v>0.028914991916936i</v>
      </c>
      <c r="AH484" s="98">
        <f t="shared" si="299"/>
        <v>2.8914991916936E-2</v>
      </c>
      <c r="AI484" s="98">
        <f t="shared" si="300"/>
        <v>1.5707963267948966</v>
      </c>
      <c r="AJ484" s="98" t="str">
        <f t="shared" si="286"/>
        <v>1+29.0962375150474i</v>
      </c>
      <c r="AK484" s="98">
        <f t="shared" si="301"/>
        <v>29.113416795904456</v>
      </c>
      <c r="AL484" s="98">
        <f t="shared" si="302"/>
        <v>1.5364411445367072</v>
      </c>
      <c r="AM484" s="98" t="str">
        <f t="shared" si="287"/>
        <v>1+4307.95469561025i</v>
      </c>
      <c r="AN484" s="98">
        <f t="shared" si="303"/>
        <v>4307.9548116746082</v>
      </c>
      <c r="AO484" s="98">
        <f t="shared" si="304"/>
        <v>1.570564198081227</v>
      </c>
      <c r="AP484" s="168" t="str">
        <f t="shared" si="305"/>
        <v>-0.0117509994226166+0.344237603650356i</v>
      </c>
      <c r="AQ484" s="98">
        <f t="shared" si="306"/>
        <v>-9.2577759717633494</v>
      </c>
      <c r="AR484" s="169">
        <f t="shared" si="307"/>
        <v>91.955106952199927</v>
      </c>
      <c r="AS484" s="168" t="str">
        <f t="shared" si="308"/>
        <v>0.00320310803499963-0.0100566418224594i</v>
      </c>
      <c r="AT484" s="190">
        <f t="shared" si="309"/>
        <v>-39.531306146926468</v>
      </c>
      <c r="AU484" s="169">
        <f t="shared" si="310"/>
        <v>-72.332973057852541</v>
      </c>
      <c r="AV484" s="225"/>
      <c r="AX484">
        <f t="shared" si="311"/>
        <v>0</v>
      </c>
      <c r="AY484">
        <f t="shared" si="312"/>
        <v>0</v>
      </c>
    </row>
    <row r="485" spans="14:51" x14ac:dyDescent="0.25">
      <c r="N485" s="170">
        <v>67</v>
      </c>
      <c r="O485" s="199">
        <f t="shared" si="313"/>
        <v>467735.14128719864</v>
      </c>
      <c r="P485" s="189" t="str">
        <f t="shared" si="279"/>
        <v>87</v>
      </c>
      <c r="Q485" s="160" t="str">
        <f t="shared" si="280"/>
        <v>1+22041.4992554047i</v>
      </c>
      <c r="R485" s="160">
        <f t="shared" si="288"/>
        <v>22041.499278089181</v>
      </c>
      <c r="S485" s="160">
        <f t="shared" si="289"/>
        <v>1.5707509578303027</v>
      </c>
      <c r="T485" s="160" t="str">
        <f t="shared" si="281"/>
        <v>1+14.6943328369364i</v>
      </c>
      <c r="U485" s="160">
        <f t="shared" si="290"/>
        <v>14.7283202546206</v>
      </c>
      <c r="V485" s="160">
        <f t="shared" si="291"/>
        <v>1.5028476468880061</v>
      </c>
      <c r="W485" s="98" t="str">
        <f t="shared" si="282"/>
        <v>1-2.08169715189933i</v>
      </c>
      <c r="X485" s="160">
        <f t="shared" si="292"/>
        <v>2.3094291572217109</v>
      </c>
      <c r="Y485" s="160">
        <f t="shared" si="293"/>
        <v>-1.1229697708761668</v>
      </c>
      <c r="Z485" s="98" t="str">
        <f t="shared" si="283"/>
        <v>-0.55574159925302+4.37303345227229i</v>
      </c>
      <c r="AA485" s="160">
        <f t="shared" si="294"/>
        <v>4.4082048840580006</v>
      </c>
      <c r="AB485" s="160">
        <f t="shared" si="295"/>
        <v>1.6972025093159668</v>
      </c>
      <c r="AC485" s="171" t="str">
        <f t="shared" si="296"/>
        <v>-0.0294826049864003-0.00763869757772388i</v>
      </c>
      <c r="AD485" s="190">
        <f t="shared" si="297"/>
        <v>-30.32651574831857</v>
      </c>
      <c r="AE485" s="169">
        <f t="shared" si="298"/>
        <v>-165.47454228675309</v>
      </c>
      <c r="AF485" s="98" t="str">
        <f t="shared" si="284"/>
        <v>-0.0000673063927557778</v>
      </c>
      <c r="AG485" s="98" t="str">
        <f t="shared" si="285"/>
        <v>0.0295885086004553i</v>
      </c>
      <c r="AH485" s="98">
        <f t="shared" si="299"/>
        <v>2.95885086004553E-2</v>
      </c>
      <c r="AI485" s="98">
        <f t="shared" si="300"/>
        <v>1.5707963267948966</v>
      </c>
      <c r="AJ485" s="98" t="str">
        <f t="shared" si="286"/>
        <v>1+29.7739759508843i</v>
      </c>
      <c r="AK485" s="98">
        <f t="shared" si="301"/>
        <v>29.790764406504184</v>
      </c>
      <c r="AL485" s="98">
        <f t="shared" si="302"/>
        <v>1.5372225695976642</v>
      </c>
      <c r="AM485" s="98" t="str">
        <f t="shared" si="287"/>
        <v>1+4408.29985108093i</v>
      </c>
      <c r="AN485" s="98">
        <f t="shared" si="303"/>
        <v>4408.2999645033406</v>
      </c>
      <c r="AO485" s="98">
        <f t="shared" si="304"/>
        <v>1.5705694819756628</v>
      </c>
      <c r="AP485" s="168" t="str">
        <f t="shared" si="305"/>
        <v>-0.0112227132573829+0.336419542358408i</v>
      </c>
      <c r="AQ485" s="98">
        <f t="shared" si="306"/>
        <v>-9.4575453641124998</v>
      </c>
      <c r="AR485" s="169">
        <f t="shared" si="307"/>
        <v>91.910637339051874</v>
      </c>
      <c r="AS485" s="168" t="str">
        <f t="shared" si="308"/>
        <v>0.0029006819651552-0.00983279756448385i</v>
      </c>
      <c r="AT485" s="190">
        <f t="shared" si="309"/>
        <v>-39.784061112431075</v>
      </c>
      <c r="AU485" s="169">
        <f t="shared" si="310"/>
        <v>-73.563904947701261</v>
      </c>
      <c r="AV485" s="225"/>
      <c r="AX485">
        <f t="shared" si="311"/>
        <v>0</v>
      </c>
      <c r="AY485">
        <f t="shared" si="312"/>
        <v>0</v>
      </c>
    </row>
    <row r="486" spans="14:51" x14ac:dyDescent="0.25">
      <c r="N486" s="170">
        <v>68</v>
      </c>
      <c r="O486" s="199">
        <f t="shared" si="313"/>
        <v>478630.09232263872</v>
      </c>
      <c r="P486" s="189" t="str">
        <f t="shared" si="279"/>
        <v>87</v>
      </c>
      <c r="Q486" s="160" t="str">
        <f t="shared" si="280"/>
        <v>1+22554.9117274171i</v>
      </c>
      <c r="R486" s="160">
        <f t="shared" si="288"/>
        <v>22554.911749585222</v>
      </c>
      <c r="S486" s="160">
        <f t="shared" si="289"/>
        <v>1.5707519905540179</v>
      </c>
      <c r="T486" s="160" t="str">
        <f t="shared" si="281"/>
        <v>1+15.0366078182781i</v>
      </c>
      <c r="U486" s="160">
        <f t="shared" si="290"/>
        <v>15.069823312856132</v>
      </c>
      <c r="V486" s="160">
        <f t="shared" si="291"/>
        <v>1.5043897518983407</v>
      </c>
      <c r="W486" s="98" t="str">
        <f t="shared" si="282"/>
        <v>1-2.13018610758939i</v>
      </c>
      <c r="X486" s="160">
        <f t="shared" si="292"/>
        <v>2.3532303017271463</v>
      </c>
      <c r="Y486" s="160">
        <f t="shared" si="293"/>
        <v>-1.131892126237841</v>
      </c>
      <c r="Z486" s="98" t="str">
        <f t="shared" si="283"/>
        <v>-0.6290614419682+4.47489448671955i</v>
      </c>
      <c r="AA486" s="160">
        <f t="shared" si="294"/>
        <v>4.5188935554009388</v>
      </c>
      <c r="AB486" s="160">
        <f t="shared" si="295"/>
        <v>1.7104568605175159</v>
      </c>
      <c r="AC486" s="171" t="str">
        <f t="shared" si="296"/>
        <v>-0.0294532942133138-0.006985874280069i</v>
      </c>
      <c r="AD486" s="190">
        <f t="shared" si="297"/>
        <v>-30.379627971297509</v>
      </c>
      <c r="AE486" s="169">
        <f t="shared" si="298"/>
        <v>-166.65687703837804</v>
      </c>
      <c r="AF486" s="98" t="str">
        <f t="shared" si="284"/>
        <v>-0.0000673063927557778</v>
      </c>
      <c r="AG486" s="98" t="str">
        <f t="shared" si="285"/>
        <v>0.0302777135028847i</v>
      </c>
      <c r="AH486" s="98">
        <f t="shared" si="299"/>
        <v>3.02777135028847E-2</v>
      </c>
      <c r="AI486" s="98">
        <f t="shared" si="300"/>
        <v>1.5707963267948966</v>
      </c>
      <c r="AJ486" s="98" t="str">
        <f t="shared" si="286"/>
        <v>1+30.4675009428757i</v>
      </c>
      <c r="AK486" s="98">
        <f t="shared" si="301"/>
        <v>30.483907454657643</v>
      </c>
      <c r="AL486" s="98">
        <f t="shared" si="302"/>
        <v>1.5379862468891592</v>
      </c>
      <c r="AM486" s="98" t="str">
        <f t="shared" si="287"/>
        <v>1+4510.98234548341i</v>
      </c>
      <c r="AN486" s="98">
        <f t="shared" si="303"/>
        <v>4510.9824563240109</v>
      </c>
      <c r="AO486" s="98">
        <f t="shared" si="304"/>
        <v>1.5705746455939891</v>
      </c>
      <c r="AP486" s="168" t="str">
        <f t="shared" si="305"/>
        <v>-0.0107181515072941+0.328778259303841i</v>
      </c>
      <c r="AQ486" s="98">
        <f t="shared" si="306"/>
        <v>-9.6573251240832541</v>
      </c>
      <c r="AR486" s="169">
        <f t="shared" si="307"/>
        <v>91.867177706876348</v>
      </c>
      <c r="AS486" s="168" t="str">
        <f t="shared" si="308"/>
        <v>0.00261248845528377-0.00960872714327251i</v>
      </c>
      <c r="AT486" s="190">
        <f t="shared" si="309"/>
        <v>-40.036953095380767</v>
      </c>
      <c r="AU486" s="169">
        <f t="shared" si="310"/>
        <v>-74.789699331501652</v>
      </c>
      <c r="AV486" s="225"/>
      <c r="AX486">
        <f t="shared" si="311"/>
        <v>0</v>
      </c>
      <c r="AY486">
        <f t="shared" si="312"/>
        <v>0</v>
      </c>
    </row>
    <row r="487" spans="14:51" x14ac:dyDescent="0.25">
      <c r="N487" s="170">
        <v>69</v>
      </c>
      <c r="O487" s="199">
        <f t="shared" si="313"/>
        <v>489778.81936844654</v>
      </c>
      <c r="P487" s="189" t="str">
        <f t="shared" si="279"/>
        <v>87</v>
      </c>
      <c r="Q487" s="160" t="str">
        <f t="shared" si="280"/>
        <v>1+23080.283112177i</v>
      </c>
      <c r="R487" s="160">
        <f t="shared" si="288"/>
        <v>23080.283133840509</v>
      </c>
      <c r="S487" s="160">
        <f t="shared" si="289"/>
        <v>1.5707529997700713</v>
      </c>
      <c r="T487" s="160" t="str">
        <f t="shared" si="281"/>
        <v>1+15.386855408118i</v>
      </c>
      <c r="U487" s="160">
        <f t="shared" si="290"/>
        <v>15.419316435897223</v>
      </c>
      <c r="V487" s="160">
        <f t="shared" si="291"/>
        <v>1.5058970600169526</v>
      </c>
      <c r="W487" s="98" t="str">
        <f t="shared" si="282"/>
        <v>1-2.17980451615005i</v>
      </c>
      <c r="X487" s="160">
        <f t="shared" si="292"/>
        <v>2.3982384636703986</v>
      </c>
      <c r="Y487" s="160">
        <f t="shared" si="293"/>
        <v>-1.1406842062142151</v>
      </c>
      <c r="Z487" s="98" t="str">
        <f t="shared" si="283"/>
        <v>-0.70583674241387+4.5791281694559i</v>
      </c>
      <c r="AA487" s="160">
        <f t="shared" si="294"/>
        <v>4.6332084238943931</v>
      </c>
      <c r="AB487" s="160">
        <f t="shared" si="295"/>
        <v>1.7237348119632889</v>
      </c>
      <c r="AC487" s="171" t="str">
        <f t="shared" si="296"/>
        <v>-0.029409699702222-0.00633974997625211i</v>
      </c>
      <c r="AD487" s="190">
        <f t="shared" si="297"/>
        <v>-30.432924632809989</v>
      </c>
      <c r="AE487" s="169">
        <f t="shared" si="298"/>
        <v>-167.83509212278653</v>
      </c>
      <c r="AF487" s="98" t="str">
        <f t="shared" si="284"/>
        <v>-0.0000673063927557778</v>
      </c>
      <c r="AG487" s="98" t="str">
        <f t="shared" si="285"/>
        <v>0.0309829720497863i</v>
      </c>
      <c r="AH487" s="98">
        <f t="shared" si="299"/>
        <v>3.0982972049786301E-2</v>
      </c>
      <c r="AI487" s="98">
        <f t="shared" si="300"/>
        <v>1.5707963267948966</v>
      </c>
      <c r="AJ487" s="98" t="str">
        <f t="shared" si="286"/>
        <v>1+31.177180207152i</v>
      </c>
      <c r="AK487" s="98">
        <f t="shared" si="301"/>
        <v>31.193213455321175</v>
      </c>
      <c r="AL487" s="98">
        <f t="shared" si="302"/>
        <v>1.5387325777579322</v>
      </c>
      <c r="AM487" s="98" t="str">
        <f t="shared" si="287"/>
        <v>1+4616.05662243538i</v>
      </c>
      <c r="AN487" s="98">
        <f t="shared" si="303"/>
        <v>4616.0567307529409</v>
      </c>
      <c r="AO487" s="98">
        <f t="shared" si="304"/>
        <v>1.570579691674024</v>
      </c>
      <c r="AP487" s="168" t="str">
        <f t="shared" si="305"/>
        <v>-0.0102362509992866+0.321309809267062i</v>
      </c>
      <c r="AQ487" s="98">
        <f t="shared" si="306"/>
        <v>-9.8571147860605297</v>
      </c>
      <c r="AR487" s="169">
        <f t="shared" si="307"/>
        <v>91.82470521706442</v>
      </c>
      <c r="AS487" s="168" t="str">
        <f t="shared" si="308"/>
        <v>0.00233806892363601-0.00938472972989288i</v>
      </c>
      <c r="AT487" s="190">
        <f t="shared" si="309"/>
        <v>-40.290039418870521</v>
      </c>
      <c r="AU487" s="169">
        <f t="shared" si="310"/>
        <v>-76.010386905722143</v>
      </c>
      <c r="AV487" s="225"/>
      <c r="AX487">
        <f t="shared" si="311"/>
        <v>0</v>
      </c>
      <c r="AY487">
        <f t="shared" si="312"/>
        <v>0</v>
      </c>
    </row>
    <row r="488" spans="14:51" x14ac:dyDescent="0.25">
      <c r="N488" s="170">
        <v>70</v>
      </c>
      <c r="O488" s="199">
        <f t="shared" si="313"/>
        <v>501187.23362727347</v>
      </c>
      <c r="P488" s="189" t="str">
        <f t="shared" si="279"/>
        <v>87</v>
      </c>
      <c r="Q488" s="160" t="str">
        <f t="shared" si="280"/>
        <v>1+23617.8919685466i</v>
      </c>
      <c r="R488" s="160">
        <f t="shared" si="288"/>
        <v>23617.891989716987</v>
      </c>
      <c r="S488" s="160">
        <f t="shared" si="289"/>
        <v>1.5707539860135629</v>
      </c>
      <c r="T488" s="160" t="str">
        <f t="shared" si="281"/>
        <v>1+15.7452613123643i</v>
      </c>
      <c r="U488" s="160">
        <f t="shared" si="290"/>
        <v>15.776984939925498</v>
      </c>
      <c r="V488" s="160">
        <f t="shared" si="291"/>
        <v>1.5073703430265655</v>
      </c>
      <c r="W488" s="98" t="str">
        <f t="shared" si="282"/>
        <v>1-2.23057868591829i</v>
      </c>
      <c r="X488" s="160">
        <f t="shared" si="292"/>
        <v>2.4444797553002902</v>
      </c>
      <c r="Y488" s="160">
        <f t="shared" si="293"/>
        <v>-1.1493452343919368</v>
      </c>
      <c r="Z488" s="98" t="str">
        <f t="shared" si="283"/>
        <v>-0.78623035129572+4.68578976655963i</v>
      </c>
      <c r="AA488" s="160">
        <f t="shared" si="294"/>
        <v>4.7512928663358087</v>
      </c>
      <c r="AB488" s="160">
        <f t="shared" si="295"/>
        <v>1.7370381277198528</v>
      </c>
      <c r="AC488" s="171" t="str">
        <f t="shared" si="296"/>
        <v>-0.0293519460917493-0.00570054941305409i</v>
      </c>
      <c r="AD488" s="190">
        <f t="shared" si="297"/>
        <v>-30.486464490462261</v>
      </c>
      <c r="AE488" s="169">
        <f t="shared" si="298"/>
        <v>-169.00919993910532</v>
      </c>
      <c r="AF488" s="98" t="str">
        <f t="shared" si="284"/>
        <v>-0.0000673063927557778</v>
      </c>
      <c r="AG488" s="98" t="str">
        <f t="shared" si="285"/>
        <v>0.0317046581785768i</v>
      </c>
      <c r="AH488" s="98">
        <f t="shared" si="299"/>
        <v>3.1704658178576803E-2</v>
      </c>
      <c r="AI488" s="98">
        <f t="shared" si="300"/>
        <v>1.5707963267948966</v>
      </c>
      <c r="AJ488" s="98" t="str">
        <f t="shared" si="286"/>
        <v>1+31.9033900250529i</v>
      </c>
      <c r="AK488" s="98">
        <f t="shared" si="301"/>
        <v>31.919058493173711</v>
      </c>
      <c r="AL488" s="98">
        <f t="shared" si="302"/>
        <v>1.5394619545908788</v>
      </c>
      <c r="AM488" s="98" t="str">
        <f t="shared" si="287"/>
        <v>1+4723.5783937093i</v>
      </c>
      <c r="AN488" s="98">
        <f t="shared" si="303"/>
        <v>4723.5784995612521</v>
      </c>
      <c r="AO488" s="98">
        <f t="shared" si="304"/>
        <v>1.5705846228912645</v>
      </c>
      <c r="AP488" s="168" t="str">
        <f t="shared" si="305"/>
        <v>-0.00977599600702093+0.314010331597057i</v>
      </c>
      <c r="AQ488" s="98">
        <f t="shared" si="306"/>
        <v>-10.056913905297273</v>
      </c>
      <c r="AR488" s="169">
        <f t="shared" si="307"/>
        <v>91.783197540797687</v>
      </c>
      <c r="AS488" s="168" t="str">
        <f t="shared" si="308"/>
        <v>0.00207697591926976-0.0091610857769893i</v>
      </c>
      <c r="AT488" s="190">
        <f t="shared" si="309"/>
        <v>-40.543378395759532</v>
      </c>
      <c r="AU488" s="169">
        <f t="shared" si="310"/>
        <v>-77.226002398307614</v>
      </c>
      <c r="AV488" s="225"/>
      <c r="AX488">
        <f t="shared" si="311"/>
        <v>0</v>
      </c>
      <c r="AY488">
        <f t="shared" si="312"/>
        <v>0</v>
      </c>
    </row>
    <row r="489" spans="14:51" x14ac:dyDescent="0.25">
      <c r="N489" s="170">
        <v>71</v>
      </c>
      <c r="O489" s="199">
        <f t="shared" si="313"/>
        <v>512861.38399136515</v>
      </c>
      <c r="P489" s="189" t="str">
        <f t="shared" si="279"/>
        <v>87</v>
      </c>
      <c r="Q489" s="160" t="str">
        <f t="shared" si="280"/>
        <v>1+24168.0233438575i</v>
      </c>
      <c r="R489" s="160">
        <f t="shared" si="288"/>
        <v>24168.023364545992</v>
      </c>
      <c r="S489" s="160">
        <f t="shared" si="289"/>
        <v>1.5707549498074118</v>
      </c>
      <c r="T489" s="160" t="str">
        <f t="shared" si="281"/>
        <v>1+16.1120155625716i</v>
      </c>
      <c r="U489" s="160">
        <f t="shared" si="290"/>
        <v>16.143018475134983</v>
      </c>
      <c r="V489" s="160">
        <f t="shared" si="291"/>
        <v>1.5088103564840867</v>
      </c>
      <c r="W489" s="98" t="str">
        <f t="shared" si="282"/>
        <v>1-2.28253553803099i</v>
      </c>
      <c r="X489" s="160">
        <f t="shared" si="292"/>
        <v>2.4919808350736612</v>
      </c>
      <c r="Y489" s="160">
        <f t="shared" si="293"/>
        <v>-1.1578746043812049</v>
      </c>
      <c r="Z489" s="98" t="str">
        <f t="shared" si="283"/>
        <v>-0.87041279423671+4.79493583142132i</v>
      </c>
      <c r="AA489" s="160">
        <f t="shared" si="294"/>
        <v>4.8732974524257209</v>
      </c>
      <c r="AB489" s="160">
        <f t="shared" si="295"/>
        <v>1.7503684483705508</v>
      </c>
      <c r="AC489" s="171" t="str">
        <f t="shared" si="296"/>
        <v>-0.0292801596463132-0.00506850044623315i</v>
      </c>
      <c r="AD489" s="190">
        <f t="shared" si="297"/>
        <v>-30.540307160251775</v>
      </c>
      <c r="AE489" s="169">
        <f t="shared" si="298"/>
        <v>-170.17921648199891</v>
      </c>
      <c r="AF489" s="98" t="str">
        <f t="shared" si="284"/>
        <v>-0.0000673063927557778</v>
      </c>
      <c r="AG489" s="98" t="str">
        <f t="shared" si="285"/>
        <v>0.0324431545367943i</v>
      </c>
      <c r="AH489" s="98">
        <f t="shared" si="299"/>
        <v>3.2443154536794298E-2</v>
      </c>
      <c r="AI489" s="98">
        <f t="shared" si="300"/>
        <v>1.5707963267948966</v>
      </c>
      <c r="AJ489" s="98" t="str">
        <f t="shared" si="286"/>
        <v>1+32.6465154426362i</v>
      </c>
      <c r="AK489" s="98">
        <f t="shared" si="301"/>
        <v>32.661827422027137</v>
      </c>
      <c r="AL489" s="98">
        <f t="shared" si="302"/>
        <v>1.5401747610073022</v>
      </c>
      <c r="AM489" s="98" t="str">
        <f t="shared" si="287"/>
        <v>1+4833.60466877149i</v>
      </c>
      <c r="AN489" s="98">
        <f t="shared" si="303"/>
        <v>4833.6047722139565</v>
      </c>
      <c r="AO489" s="98">
        <f t="shared" si="304"/>
        <v>1.5705894418603066</v>
      </c>
      <c r="AP489" s="168" t="str">
        <f t="shared" si="305"/>
        <v>-0.00933641615085013+0.306876048633638i</v>
      </c>
      <c r="AQ489" s="98">
        <f t="shared" si="306"/>
        <v>-10.25672205698273</v>
      </c>
      <c r="AR489" s="169">
        <f t="shared" si="307"/>
        <v>91.742632848114496</v>
      </c>
      <c r="AS489" s="168" t="str">
        <f t="shared" si="308"/>
        <v>0.00182877314485917-0.00893805806619589i</v>
      </c>
      <c r="AT489" s="190">
        <f t="shared" si="309"/>
        <v>-40.79702921723451</v>
      </c>
      <c r="AU489" s="169">
        <f t="shared" si="310"/>
        <v>-78.43658363388441</v>
      </c>
      <c r="AV489" s="225"/>
      <c r="AX489">
        <f t="shared" si="311"/>
        <v>0</v>
      </c>
      <c r="AY489">
        <f t="shared" si="312"/>
        <v>0</v>
      </c>
    </row>
    <row r="490" spans="14:51" x14ac:dyDescent="0.25">
      <c r="N490" s="170">
        <v>72</v>
      </c>
      <c r="O490" s="199">
        <f t="shared" si="313"/>
        <v>524807.46024977288</v>
      </c>
      <c r="P490" s="189" t="str">
        <f t="shared" si="279"/>
        <v>87</v>
      </c>
      <c r="Q490" s="160" t="str">
        <f t="shared" si="280"/>
        <v>1+24730.9689250471i</v>
      </c>
      <c r="R490" s="160">
        <f t="shared" si="288"/>
        <v>24730.96894526466</v>
      </c>
      <c r="S490" s="160">
        <f t="shared" si="289"/>
        <v>1.5707558916626345</v>
      </c>
      <c r="T490" s="160" t="str">
        <f t="shared" si="281"/>
        <v>1+16.4873126166981i</v>
      </c>
      <c r="U490" s="160">
        <f t="shared" si="290"/>
        <v>16.517611126332174</v>
      </c>
      <c r="V490" s="160">
        <f t="shared" si="291"/>
        <v>1.5102178400016948</v>
      </c>
      <c r="W490" s="98" t="str">
        <f t="shared" si="282"/>
        <v>1-2.3357026206989i</v>
      </c>
      <c r="X490" s="160">
        <f t="shared" si="292"/>
        <v>2.5407689254120904</v>
      </c>
      <c r="Y490" s="160">
        <f t="shared" si="293"/>
        <v>-1.1662718734179067</v>
      </c>
      <c r="Z490" s="98" t="str">
        <f t="shared" si="283"/>
        <v>-0.95856263348493+4.90662423472934i</v>
      </c>
      <c r="AA490" s="160">
        <f t="shared" si="294"/>
        <v>4.9993803319158312</v>
      </c>
      <c r="AB490" s="160">
        <f t="shared" si="295"/>
        <v>1.7637272811688345</v>
      </c>
      <c r="AC490" s="171" t="str">
        <f t="shared" si="296"/>
        <v>-0.0291944689800094-0.00444383453122336i</v>
      </c>
      <c r="AD490" s="190">
        <f t="shared" si="297"/>
        <v>-30.594513005936001</v>
      </c>
      <c r="AE490" s="169">
        <f t="shared" si="298"/>
        <v>-171.34516039483631</v>
      </c>
      <c r="AF490" s="98" t="str">
        <f t="shared" si="284"/>
        <v>-0.0000673063927557778</v>
      </c>
      <c r="AG490" s="98" t="str">
        <f t="shared" si="285"/>
        <v>0.0331988526849832i</v>
      </c>
      <c r="AH490" s="98">
        <f t="shared" si="299"/>
        <v>3.3198852684983203E-2</v>
      </c>
      <c r="AI490" s="98">
        <f t="shared" si="300"/>
        <v>1.5707963267948966</v>
      </c>
      <c r="AJ490" s="98" t="str">
        <f t="shared" si="286"/>
        <v>1+33.4069504748351i</v>
      </c>
      <c r="AK490" s="98">
        <f t="shared" si="301"/>
        <v>33.421914068887276</v>
      </c>
      <c r="AL490" s="98">
        <f t="shared" si="302"/>
        <v>1.5408713720475675</v>
      </c>
      <c r="AM490" s="98" t="str">
        <f t="shared" si="287"/>
        <v>1+4946.19378500941i</v>
      </c>
      <c r="AN490" s="98">
        <f t="shared" si="303"/>
        <v>4946.1938860972396</v>
      </c>
      <c r="AO490" s="98">
        <f t="shared" si="304"/>
        <v>1.5705941511362305</v>
      </c>
      <c r="AP490" s="168" t="str">
        <f t="shared" si="305"/>
        <v>-0.00891658438920286+0.299903264142651i</v>
      </c>
      <c r="AQ490" s="98">
        <f t="shared" si="306"/>
        <v>-10.456538835352347</v>
      </c>
      <c r="AR490" s="169">
        <f t="shared" si="307"/>
        <v>91.702989797180066</v>
      </c>
      <c r="AS490" s="168" t="str">
        <f t="shared" si="308"/>
        <v>0.00159303542758193-0.00871589271640688i</v>
      </c>
      <c r="AT490" s="190">
        <f t="shared" si="309"/>
        <v>-41.051051841288348</v>
      </c>
      <c r="AU490" s="169">
        <f t="shared" si="310"/>
        <v>-79.642170597656275</v>
      </c>
      <c r="AV490" s="225"/>
      <c r="AX490">
        <f t="shared" si="311"/>
        <v>0</v>
      </c>
      <c r="AY490">
        <f t="shared" si="312"/>
        <v>0</v>
      </c>
    </row>
    <row r="491" spans="14:51" x14ac:dyDescent="0.25">
      <c r="N491" s="170">
        <v>73</v>
      </c>
      <c r="O491" s="199">
        <f t="shared" si="313"/>
        <v>537031.7963702539</v>
      </c>
      <c r="P491" s="189" t="str">
        <f t="shared" si="279"/>
        <v>87</v>
      </c>
      <c r="Q491" s="160" t="str">
        <f t="shared" si="280"/>
        <v>1+25307.0271933139i</v>
      </c>
      <c r="R491" s="160">
        <f t="shared" si="288"/>
        <v>25307.027213071258</v>
      </c>
      <c r="S491" s="160">
        <f t="shared" si="289"/>
        <v>1.5707568120786148</v>
      </c>
      <c r="T491" s="160" t="str">
        <f t="shared" si="281"/>
        <v>1+16.8713514622092i</v>
      </c>
      <c r="U491" s="160">
        <f t="shared" si="290"/>
        <v>16.9009615158839</v>
      </c>
      <c r="V491" s="160">
        <f t="shared" si="291"/>
        <v>1.5115935175272766</v>
      </c>
      <c r="W491" s="98" t="str">
        <f t="shared" si="282"/>
        <v>1-2.39010812381297i</v>
      </c>
      <c r="X491" s="160">
        <f t="shared" si="292"/>
        <v>2.5908718307775778</v>
      </c>
      <c r="Y491" s="160">
        <f t="shared" si="293"/>
        <v>-1.174536755786052</v>
      </c>
      <c r="Z491" s="98" t="str">
        <f t="shared" si="283"/>
        <v>-1.05086684666782+5.02091419515346i</v>
      </c>
      <c r="AA491" s="160">
        <f t="shared" si="294"/>
        <v>5.129707641232498</v>
      </c>
      <c r="AB491" s="160">
        <f t="shared" si="295"/>
        <v>1.7771159904293254</v>
      </c>
      <c r="AC491" s="171" t="str">
        <f t="shared" si="296"/>
        <v>-0.0290950058400041-0.00382678713250338i</v>
      </c>
      <c r="AD491" s="190">
        <f t="shared" si="297"/>
        <v>-30.649143028175601</v>
      </c>
      <c r="AE491" s="169">
        <f t="shared" si="298"/>
        <v>-172.50705202622126</v>
      </c>
      <c r="AF491" s="98" t="str">
        <f t="shared" si="284"/>
        <v>-0.0000673063927557778</v>
      </c>
      <c r="AG491" s="98" t="str">
        <f t="shared" si="285"/>
        <v>0.0339721533043044i</v>
      </c>
      <c r="AH491" s="98">
        <f t="shared" si="299"/>
        <v>3.3972153304304399E-2</v>
      </c>
      <c r="AI491" s="98">
        <f t="shared" si="300"/>
        <v>1.5707963267948966</v>
      </c>
      <c r="AJ491" s="98" t="str">
        <f t="shared" si="286"/>
        <v>1+34.185098314369i</v>
      </c>
      <c r="AK491" s="98">
        <f t="shared" si="301"/>
        <v>34.199721442770176</v>
      </c>
      <c r="AL491" s="98">
        <f t="shared" si="302"/>
        <v>1.5415521543581829</v>
      </c>
      <c r="AM491" s="98" t="str">
        <f t="shared" si="287"/>
        <v>1+5061.40543866276i</v>
      </c>
      <c r="AN491" s="98">
        <f t="shared" si="303"/>
        <v>5061.4055374495501</v>
      </c>
      <c r="AO491" s="98">
        <f t="shared" si="304"/>
        <v>1.5705987532159555</v>
      </c>
      <c r="AP491" s="168" t="str">
        <f t="shared" si="305"/>
        <v>-0.00851561509753955+0.293088361765373i</v>
      </c>
      <c r="AQ491" s="98">
        <f t="shared" si="306"/>
        <v>-10.656363852836986</v>
      </c>
      <c r="AR491" s="169">
        <f t="shared" si="307"/>
        <v>91.664247523759883</v>
      </c>
      <c r="AS491" s="168" t="str">
        <f t="shared" si="308"/>
        <v>0.00136934864248437-0.00849482015092015i</v>
      </c>
      <c r="AT491" s="190">
        <f t="shared" si="309"/>
        <v>-41.30550688101259</v>
      </c>
      <c r="AU491" s="169">
        <f t="shared" si="310"/>
        <v>-80.842804502461334</v>
      </c>
      <c r="AV491" s="225"/>
      <c r="AX491">
        <f t="shared" si="311"/>
        <v>0</v>
      </c>
      <c r="AY491">
        <f t="shared" si="312"/>
        <v>0</v>
      </c>
    </row>
    <row r="492" spans="14:51" x14ac:dyDescent="0.25">
      <c r="N492" s="170">
        <v>74</v>
      </c>
      <c r="O492" s="199">
        <f t="shared" si="313"/>
        <v>549540.87385762564</v>
      </c>
      <c r="P492" s="189" t="str">
        <f t="shared" si="279"/>
        <v>87</v>
      </c>
      <c r="Q492" s="160" t="str">
        <f t="shared" si="280"/>
        <v>1+25896.5035823765i</v>
      </c>
      <c r="R492" s="160">
        <f t="shared" si="288"/>
        <v>25896.503601684122</v>
      </c>
      <c r="S492" s="160">
        <f t="shared" si="289"/>
        <v>1.5707577115433697</v>
      </c>
      <c r="T492" s="160" t="str">
        <f t="shared" si="281"/>
        <v>1+17.2643357215843i</v>
      </c>
      <c r="U492" s="160">
        <f t="shared" si="290"/>
        <v>17.293272909069923</v>
      </c>
      <c r="V492" s="160">
        <f t="shared" si="291"/>
        <v>1.5129380976238644</v>
      </c>
      <c r="W492" s="98" t="str">
        <f t="shared" si="282"/>
        <v>1-2.44578089389111i</v>
      </c>
      <c r="X492" s="160">
        <f t="shared" si="292"/>
        <v>2.642317956061079</v>
      </c>
      <c r="Y492" s="160">
        <f t="shared" si="293"/>
        <v>-1.1826691161051259</v>
      </c>
      <c r="Z492" s="98" t="str">
        <f t="shared" si="283"/>
        <v>-1.14752122339701+5.13786631074349i</v>
      </c>
      <c r="AA492" s="160">
        <f t="shared" si="294"/>
        <v>5.2644539303919737</v>
      </c>
      <c r="AB492" s="160">
        <f t="shared" si="295"/>
        <v>1.7905357881899009</v>
      </c>
      <c r="AC492" s="171" t="str">
        <f t="shared" si="296"/>
        <v>-0.0289819059426536-0.00321759804601872i</v>
      </c>
      <c r="AD492" s="190">
        <f t="shared" si="297"/>
        <v>-30.704258753342092</v>
      </c>
      <c r="AE492" s="169">
        <f t="shared" si="298"/>
        <v>-173.66491249436629</v>
      </c>
      <c r="AF492" s="98" t="str">
        <f t="shared" si="284"/>
        <v>-0.0000673063927557778</v>
      </c>
      <c r="AG492" s="98" t="str">
        <f t="shared" si="285"/>
        <v>0.0347634664089822i</v>
      </c>
      <c r="AH492" s="98">
        <f t="shared" si="299"/>
        <v>3.4763466408982202E-2</v>
      </c>
      <c r="AI492" s="98">
        <f t="shared" si="300"/>
        <v>1.5707963267948966</v>
      </c>
      <c r="AJ492" s="98" t="str">
        <f t="shared" si="286"/>
        <v>1+34.9813715455224i</v>
      </c>
      <c r="AK492" s="98">
        <f t="shared" si="301"/>
        <v>34.995661948388467</v>
      </c>
      <c r="AL492" s="98">
        <f t="shared" si="302"/>
        <v>1.5422174663733488</v>
      </c>
      <c r="AM492" s="98" t="str">
        <f t="shared" si="287"/>
        <v>1+5179.30071647529i</v>
      </c>
      <c r="AN492" s="98">
        <f t="shared" si="303"/>
        <v>5179.3008130134176</v>
      </c>
      <c r="AO492" s="98">
        <f t="shared" si="304"/>
        <v>1.5706032505395648</v>
      </c>
      <c r="AP492" s="168" t="str">
        <f t="shared" si="305"/>
        <v>-0.00813266223118605+0.286427803483179i</v>
      </c>
      <c r="AQ492" s="98">
        <f t="shared" si="306"/>
        <v>-10.856196739249874</v>
      </c>
      <c r="AR492" s="169">
        <f t="shared" si="307"/>
        <v>91.626385630893452</v>
      </c>
      <c r="AS492" s="168" t="str">
        <f t="shared" si="308"/>
        <v>0.00115730959266052-0.00827505602180637i</v>
      </c>
      <c r="AT492" s="190">
        <f t="shared" si="309"/>
        <v>-41.560455492591963</v>
      </c>
      <c r="AU492" s="169">
        <f t="shared" si="310"/>
        <v>-82.038526863472839</v>
      </c>
      <c r="AV492" s="225"/>
      <c r="AX492">
        <f t="shared" si="311"/>
        <v>0</v>
      </c>
      <c r="AY492">
        <f t="shared" si="312"/>
        <v>0</v>
      </c>
    </row>
    <row r="493" spans="14:51" x14ac:dyDescent="0.25">
      <c r="N493" s="170">
        <v>75</v>
      </c>
      <c r="O493" s="199">
        <f t="shared" si="313"/>
        <v>562341.32519035018</v>
      </c>
      <c r="P493" s="189" t="str">
        <f t="shared" si="279"/>
        <v>87</v>
      </c>
      <c r="Q493" s="160" t="str">
        <f t="shared" si="280"/>
        <v>1+26499.7106404194i</v>
      </c>
      <c r="R493" s="160">
        <f t="shared" si="288"/>
        <v>26499.710659287528</v>
      </c>
      <c r="S493" s="160">
        <f t="shared" si="289"/>
        <v>1.5707585905338071</v>
      </c>
      <c r="T493" s="160" t="str">
        <f t="shared" si="281"/>
        <v>1+17.6664737602796i</v>
      </c>
      <c r="U493" s="160">
        <f t="shared" si="290"/>
        <v>17.694753321893121</v>
      </c>
      <c r="V493" s="160">
        <f t="shared" si="291"/>
        <v>1.514252273747744</v>
      </c>
      <c r="W493" s="98" t="str">
        <f t="shared" si="282"/>
        <v>1-2.50275044937294i</v>
      </c>
      <c r="X493" s="160">
        <f t="shared" si="292"/>
        <v>2.6951363252786402</v>
      </c>
      <c r="Y493" s="160">
        <f t="shared" si="293"/>
        <v>-1.1906689625242086</v>
      </c>
      <c r="Z493" s="98" t="str">
        <f t="shared" si="283"/>
        <v>-1.2487307805642+5.2575425910592i</v>
      </c>
      <c r="AA493" s="160">
        <f t="shared" si="294"/>
        <v>5.4038026110443704</v>
      </c>
      <c r="AB493" s="160">
        <f t="shared" si="295"/>
        <v>1.8039877251803775</v>
      </c>
      <c r="AC493" s="171" t="str">
        <f t="shared" si="296"/>
        <v>-0.0288553098550438-0.00261651162942617i</v>
      </c>
      <c r="AD493" s="190">
        <f t="shared" si="297"/>
        <v>-30.759922121865145</v>
      </c>
      <c r="AE493" s="169">
        <f t="shared" si="298"/>
        <v>-174.81876276377005</v>
      </c>
      <c r="AF493" s="98" t="str">
        <f t="shared" si="284"/>
        <v>-0.0000673063927557778</v>
      </c>
      <c r="AG493" s="98" t="str">
        <f t="shared" si="285"/>
        <v>0.0355732115636989i</v>
      </c>
      <c r="AH493" s="98">
        <f t="shared" si="299"/>
        <v>3.55732115636989E-2</v>
      </c>
      <c r="AI493" s="98">
        <f t="shared" si="300"/>
        <v>1.5707963267948966</v>
      </c>
      <c r="AJ493" s="98" t="str">
        <f t="shared" si="286"/>
        <v>1+35.7961923629025i</v>
      </c>
      <c r="AK493" s="98">
        <f t="shared" si="301"/>
        <v>35.810157604818215</v>
      </c>
      <c r="AL493" s="98">
        <f t="shared" si="302"/>
        <v>1.5428676584930037</v>
      </c>
      <c r="AM493" s="98" t="str">
        <f t="shared" si="287"/>
        <v>1+5299.94212808386i</v>
      </c>
      <c r="AN493" s="98">
        <f t="shared" si="303"/>
        <v>5299.9422224245118</v>
      </c>
      <c r="AO493" s="98">
        <f t="shared" si="304"/>
        <v>1.5706076454915983</v>
      </c>
      <c r="AP493" s="168" t="str">
        <f t="shared" si="305"/>
        <v>-0.00776691756849689+0.279918128098449i</v>
      </c>
      <c r="AQ493" s="98">
        <f t="shared" si="306"/>
        <v>-11.056037141009568</v>
      </c>
      <c r="AR493" s="169">
        <f t="shared" si="307"/>
        <v>91.589384178767247</v>
      </c>
      <c r="AS493" s="168" t="str">
        <f t="shared" si="308"/>
        <v>0.000956525850514357-0.00805680209018182i</v>
      </c>
      <c r="AT493" s="190">
        <f t="shared" si="309"/>
        <v>-41.815959262874713</v>
      </c>
      <c r="AU493" s="169">
        <f t="shared" si="310"/>
        <v>-83.22937858500282</v>
      </c>
      <c r="AV493" s="225"/>
      <c r="AX493">
        <f t="shared" si="311"/>
        <v>0</v>
      </c>
      <c r="AY493">
        <f t="shared" si="312"/>
        <v>0</v>
      </c>
    </row>
    <row r="494" spans="14:51" x14ac:dyDescent="0.25">
      <c r="N494" s="170">
        <v>76</v>
      </c>
      <c r="O494" s="199">
        <f t="shared" si="313"/>
        <v>575439.93733715697</v>
      </c>
      <c r="P494" s="189" t="str">
        <f t="shared" si="279"/>
        <v>87</v>
      </c>
      <c r="Q494" s="160" t="str">
        <f t="shared" si="280"/>
        <v>1+27116.9681958088i</v>
      </c>
      <c r="R494" s="160">
        <f t="shared" si="288"/>
        <v>27116.968214247438</v>
      </c>
      <c r="S494" s="160">
        <f t="shared" si="289"/>
        <v>1.5707594495159793</v>
      </c>
      <c r="T494" s="160" t="str">
        <f t="shared" si="281"/>
        <v>1+18.0779787972058i</v>
      </c>
      <c r="U494" s="160">
        <f t="shared" si="290"/>
        <v>18.105615631406252</v>
      </c>
      <c r="V494" s="160">
        <f t="shared" si="291"/>
        <v>1.5155367245249389</v>
      </c>
      <c r="W494" s="98" t="str">
        <f t="shared" si="282"/>
        <v>1-2.56104699627083i</v>
      </c>
      <c r="X494" s="160">
        <f t="shared" si="292"/>
        <v>2.7493566005718213</v>
      </c>
      <c r="Y494" s="160">
        <f t="shared" si="293"/>
        <v>-1.1985364398619731</v>
      </c>
      <c r="Z494" s="98" t="str">
        <f t="shared" si="283"/>
        <v>-1.35471019720956+5.38000649004846i</v>
      </c>
      <c r="AA494" s="160">
        <f t="shared" si="294"/>
        <v>5.5479464265065799</v>
      </c>
      <c r="AB494" s="160">
        <f t="shared" si="295"/>
        <v>1.8174726821361615</v>
      </c>
      <c r="AC494" s="171" t="str">
        <f t="shared" si="296"/>
        <v>-0.0287153639140942-0.00202377693535612i</v>
      </c>
      <c r="AD494" s="190">
        <f t="shared" si="297"/>
        <v>-30.816195375991843</v>
      </c>
      <c r="AE494" s="169">
        <f t="shared" si="298"/>
        <v>-175.96862273864841</v>
      </c>
      <c r="AF494" s="98" t="str">
        <f t="shared" si="284"/>
        <v>-0.0000673063927557778</v>
      </c>
      <c r="AG494" s="98" t="str">
        <f t="shared" si="285"/>
        <v>0.0364018181060537i</v>
      </c>
      <c r="AH494" s="98">
        <f t="shared" si="299"/>
        <v>3.6401818106053703E-2</v>
      </c>
      <c r="AI494" s="98">
        <f t="shared" si="300"/>
        <v>1.5707963267948966</v>
      </c>
      <c r="AJ494" s="98" t="str">
        <f t="shared" si="286"/>
        <v>1+36.6299927952919i</v>
      </c>
      <c r="AK494" s="98">
        <f t="shared" si="301"/>
        <v>36.643640269262775</v>
      </c>
      <c r="AL494" s="98">
        <f t="shared" si="302"/>
        <v>1.5435030732574082</v>
      </c>
      <c r="AM494" s="98" t="str">
        <f t="shared" si="287"/>
        <v>1+5423.39363916175i</v>
      </c>
      <c r="AN494" s="98">
        <f t="shared" si="303"/>
        <v>5423.3937313549468</v>
      </c>
      <c r="AO494" s="98">
        <f t="shared" si="304"/>
        <v>1.5706119404023164</v>
      </c>
      <c r="AP494" s="168" t="str">
        <f t="shared" si="305"/>
        <v>-0.00741760903093722+0.273555949732568i</v>
      </c>
      <c r="AQ494" s="98">
        <f t="shared" si="306"/>
        <v>-11.255884720397608</v>
      </c>
      <c r="AR494" s="169">
        <f t="shared" si="307"/>
        <v>91.553223674784107</v>
      </c>
      <c r="AS494" s="168" t="str">
        <f t="shared" si="308"/>
        <v>0.000766615564294043-0.00784024706136405i</v>
      </c>
      <c r="AT494" s="190">
        <f t="shared" si="309"/>
        <v>-42.072080096389442</v>
      </c>
      <c r="AU494" s="169">
        <f t="shared" si="310"/>
        <v>-84.415399063864314</v>
      </c>
      <c r="AV494" s="225"/>
      <c r="AX494">
        <f t="shared" si="311"/>
        <v>0</v>
      </c>
      <c r="AY494">
        <f t="shared" si="312"/>
        <v>0</v>
      </c>
    </row>
    <row r="495" spans="14:51" x14ac:dyDescent="0.25">
      <c r="N495" s="170">
        <v>77</v>
      </c>
      <c r="O495" s="199">
        <f t="shared" si="313"/>
        <v>588843.65535558888</v>
      </c>
      <c r="P495" s="189" t="str">
        <f t="shared" si="279"/>
        <v>87</v>
      </c>
      <c r="Q495" s="160" t="str">
        <f t="shared" si="280"/>
        <v>1+27748.6035266713i</v>
      </c>
      <c r="R495" s="160">
        <f t="shared" si="288"/>
        <v>27748.603544690224</v>
      </c>
      <c r="S495" s="160">
        <f t="shared" si="289"/>
        <v>1.5707602889453305</v>
      </c>
      <c r="T495" s="160" t="str">
        <f t="shared" si="281"/>
        <v>1+18.4990690177808i</v>
      </c>
      <c r="U495" s="160">
        <f t="shared" si="290"/>
        <v>18.526077688615516</v>
      </c>
      <c r="V495" s="160">
        <f t="shared" si="291"/>
        <v>1.5167921140258178</v>
      </c>
      <c r="W495" s="98" t="str">
        <f t="shared" si="282"/>
        <v>1-2.62070144418562i</v>
      </c>
      <c r="X495" s="160">
        <f t="shared" si="292"/>
        <v>2.8050091015104734</v>
      </c>
      <c r="Y495" s="160">
        <f t="shared" si="293"/>
        <v>-1.2062718227287774</v>
      </c>
      <c r="Z495" s="98" t="str">
        <f t="shared" si="283"/>
        <v>-1.46568426988468+5.50532293969157i</v>
      </c>
      <c r="AA495" s="160">
        <f t="shared" si="294"/>
        <v>5.6970879446680147</v>
      </c>
      <c r="AB495" s="160">
        <f t="shared" si="295"/>
        <v>1.830991361497422</v>
      </c>
      <c r="AC495" s="171" t="str">
        <f t="shared" si="296"/>
        <v>-0.0285622211748218-0.00143964774338991i</v>
      </c>
      <c r="AD495" s="190">
        <f t="shared" si="297"/>
        <v>-30.873140946833175</v>
      </c>
      <c r="AE495" s="169">
        <f t="shared" si="298"/>
        <v>-177.11451037753849</v>
      </c>
      <c r="AF495" s="98" t="str">
        <f t="shared" si="284"/>
        <v>-0.0000673063927557778</v>
      </c>
      <c r="AG495" s="98" t="str">
        <f t="shared" si="285"/>
        <v>0.0372497253742034i</v>
      </c>
      <c r="AH495" s="98">
        <f t="shared" si="299"/>
        <v>3.7249725374203402E-2</v>
      </c>
      <c r="AI495" s="98">
        <f t="shared" si="300"/>
        <v>1.5707963267948966</v>
      </c>
      <c r="AJ495" s="98" t="str">
        <f t="shared" si="286"/>
        <v>1+37.4832149347167i</v>
      </c>
      <c r="AK495" s="98">
        <f t="shared" si="301"/>
        <v>37.496551866033883</v>
      </c>
      <c r="AL495" s="98">
        <f t="shared" si="302"/>
        <v>1.544124045518307</v>
      </c>
      <c r="AM495" s="98" t="str">
        <f t="shared" si="287"/>
        <v>1+5549.72070533424i</v>
      </c>
      <c r="AN495" s="98">
        <f t="shared" si="303"/>
        <v>5549.7207954288624</v>
      </c>
      <c r="AO495" s="98">
        <f t="shared" si="304"/>
        <v>1.5706161375489376</v>
      </c>
      <c r="AP495" s="168" t="str">
        <f t="shared" si="305"/>
        <v>-0.00708399907681091+0.267337956341792i</v>
      </c>
      <c r="AQ495" s="98">
        <f t="shared" si="306"/>
        <v>-11.455739154848967</v>
      </c>
      <c r="AR495" s="169">
        <f t="shared" si="307"/>
        <v>91.517885063827279</v>
      </c>
      <c r="AS495" s="168" t="str">
        <f t="shared" si="308"/>
        <v>0.000587207234004038-0.00762556737417401i</v>
      </c>
      <c r="AT495" s="190">
        <f t="shared" si="309"/>
        <v>-42.328880101682145</v>
      </c>
      <c r="AU495" s="169">
        <f t="shared" si="310"/>
        <v>-85.596625313711215</v>
      </c>
      <c r="AV495" s="225"/>
      <c r="AX495">
        <f t="shared" si="311"/>
        <v>0</v>
      </c>
      <c r="AY495">
        <f t="shared" si="312"/>
        <v>0</v>
      </c>
    </row>
    <row r="496" spans="14:51" x14ac:dyDescent="0.25">
      <c r="N496" s="170">
        <v>78</v>
      </c>
      <c r="O496" s="199">
        <f t="shared" si="313"/>
        <v>602559.58607435878</v>
      </c>
      <c r="P496" s="189" t="str">
        <f t="shared" si="279"/>
        <v>87</v>
      </c>
      <c r="Q496" s="160" t="str">
        <f t="shared" si="280"/>
        <v>1+28394.9515344197i</v>
      </c>
      <c r="R496" s="160">
        <f t="shared" si="288"/>
        <v>28394.951552028462</v>
      </c>
      <c r="S496" s="160">
        <f t="shared" si="289"/>
        <v>1.5707611092669367</v>
      </c>
      <c r="T496" s="160" t="str">
        <f t="shared" si="281"/>
        <v>1+18.9299676896131i</v>
      </c>
      <c r="U496" s="160">
        <f t="shared" si="290"/>
        <v>18.956362434016604</v>
      </c>
      <c r="V496" s="160">
        <f t="shared" si="291"/>
        <v>1.5180190920375631</v>
      </c>
      <c r="W496" s="98" t="str">
        <f t="shared" si="282"/>
        <v>1-2.68174542269519i</v>
      </c>
      <c r="X496" s="160">
        <f t="shared" si="292"/>
        <v>2.8621248246969597</v>
      </c>
      <c r="Y496" s="160">
        <f t="shared" si="293"/>
        <v>-1.2138755086640749</v>
      </c>
      <c r="Z496" s="98" t="str">
        <f t="shared" si="283"/>
        <v>-1.58188838947628+5.63355838442886i</v>
      </c>
      <c r="AA496" s="160">
        <f t="shared" si="294"/>
        <v>5.8514400746763666</v>
      </c>
      <c r="AB496" s="160">
        <f t="shared" si="295"/>
        <v>1.844544279536751</v>
      </c>
      <c r="AC496" s="171" t="str">
        <f t="shared" si="296"/>
        <v>-0.0283960423788106-0.000864382487019886i</v>
      </c>
      <c r="AD496" s="190">
        <f t="shared" si="297"/>
        <v>-30.930821340586185</v>
      </c>
      <c r="AE496" s="169">
        <f t="shared" si="298"/>
        <v>-178.25644083345182</v>
      </c>
      <c r="AF496" s="98" t="str">
        <f t="shared" si="284"/>
        <v>-0.0000673063927557778</v>
      </c>
      <c r="AG496" s="98" t="str">
        <f t="shared" si="285"/>
        <v>0.038117382939805i</v>
      </c>
      <c r="AH496" s="98">
        <f t="shared" si="299"/>
        <v>3.8117382939805003E-2</v>
      </c>
      <c r="AI496" s="98">
        <f t="shared" si="300"/>
        <v>1.5707963267948966</v>
      </c>
      <c r="AJ496" s="98" t="str">
        <f t="shared" si="286"/>
        <v>1+38.3563111708489i</v>
      </c>
      <c r="AK496" s="98">
        <f t="shared" si="301"/>
        <v>38.369344620868731</v>
      </c>
      <c r="AL496" s="98">
        <f t="shared" si="302"/>
        <v>1.5447309026067078</v>
      </c>
      <c r="AM496" s="98" t="str">
        <f t="shared" si="287"/>
        <v>1+5678.99030688393i</v>
      </c>
      <c r="AN496" s="98">
        <f t="shared" si="303"/>
        <v>5678.9903949277495</v>
      </c>
      <c r="AO496" s="98">
        <f t="shared" si="304"/>
        <v>1.5706202391568438</v>
      </c>
      <c r="AP496" s="168" t="str">
        <f t="shared" si="305"/>
        <v>-0.00676538316549174+0.261260908251643i</v>
      </c>
      <c r="AQ496" s="98">
        <f t="shared" si="306"/>
        <v>-11.655600136274071</v>
      </c>
      <c r="AR496" s="169">
        <f t="shared" si="307"/>
        <v>91.483349718716582</v>
      </c>
      <c r="AS496" s="168" t="str">
        <f t="shared" si="308"/>
        <v>0.000417939460711825-0.00741292794391397i</v>
      </c>
      <c r="AT496" s="190">
        <f t="shared" si="309"/>
        <v>-42.586421476860252</v>
      </c>
      <c r="AU496" s="169">
        <f t="shared" si="310"/>
        <v>-86.773091114735251</v>
      </c>
      <c r="AV496" s="225"/>
      <c r="AX496">
        <f t="shared" si="311"/>
        <v>0</v>
      </c>
      <c r="AY496">
        <f t="shared" si="312"/>
        <v>0</v>
      </c>
    </row>
    <row r="497" spans="14:51" x14ac:dyDescent="0.25">
      <c r="N497" s="170">
        <v>79</v>
      </c>
      <c r="O497" s="199">
        <f t="shared" si="313"/>
        <v>616595.00186148309</v>
      </c>
      <c r="P497" s="189" t="str">
        <f t="shared" si="279"/>
        <v>87</v>
      </c>
      <c r="Q497" s="160" t="str">
        <f t="shared" si="280"/>
        <v>1+29056.3549213234i</v>
      </c>
      <c r="R497" s="160">
        <f t="shared" si="288"/>
        <v>29056.354938531338</v>
      </c>
      <c r="S497" s="160">
        <f t="shared" si="289"/>
        <v>1.5707619109157434</v>
      </c>
      <c r="T497" s="160" t="str">
        <f t="shared" si="281"/>
        <v>1+19.3709032808822i</v>
      </c>
      <c r="U497" s="160">
        <f t="shared" si="290"/>
        <v>19.396698015829728</v>
      </c>
      <c r="V497" s="160">
        <f t="shared" si="291"/>
        <v>1.5192182943343013</v>
      </c>
      <c r="W497" s="98" t="str">
        <f t="shared" si="282"/>
        <v>1-2.74421129812498i</v>
      </c>
      <c r="X497" s="160">
        <f t="shared" si="292"/>
        <v>2.9207354636729406</v>
      </c>
      <c r="Y497" s="160">
        <f t="shared" si="293"/>
        <v>-1.2213480113195418</v>
      </c>
      <c r="Z497" s="98" t="str">
        <f t="shared" si="283"/>
        <v>-1.70356904050179+5.76478081639054i</v>
      </c>
      <c r="AA497" s="160">
        <f t="shared" si="294"/>
        <v>6.0112266083371519</v>
      </c>
      <c r="AB497" s="160">
        <f t="shared" si="295"/>
        <v>1.8581317589600952</v>
      </c>
      <c r="AC497" s="171" t="str">
        <f t="shared" si="296"/>
        <v>-0.0282169969334237-0.000298244072510734i</v>
      </c>
      <c r="AD497" s="190">
        <f t="shared" si="297"/>
        <v>-30.989299023832547</v>
      </c>
      <c r="AE497" s="169">
        <f t="shared" si="298"/>
        <v>-179.39442562389667</v>
      </c>
      <c r="AF497" s="98" t="str">
        <f t="shared" si="284"/>
        <v>-0.0000673063927557778</v>
      </c>
      <c r="AG497" s="98" t="str">
        <f t="shared" si="285"/>
        <v>0.0390052508463844i</v>
      </c>
      <c r="AH497" s="98">
        <f t="shared" si="299"/>
        <v>3.9005250846384398E-2</v>
      </c>
      <c r="AI497" s="98">
        <f t="shared" si="300"/>
        <v>1.5707963267948966</v>
      </c>
      <c r="AJ497" s="98" t="str">
        <f t="shared" si="286"/>
        <v>1+39.2497444308698i</v>
      </c>
      <c r="AK497" s="98">
        <f t="shared" si="301"/>
        <v>39.262481300709901</v>
      </c>
      <c r="AL497" s="98">
        <f t="shared" si="302"/>
        <v>1.5453239644973225</v>
      </c>
      <c r="AM497" s="98" t="str">
        <f t="shared" si="287"/>
        <v>1+5811.27098426466i</v>
      </c>
      <c r="AN497" s="98">
        <f t="shared" si="303"/>
        <v>5811.2710703043576</v>
      </c>
      <c r="AO497" s="98">
        <f t="shared" si="304"/>
        <v>1.570624247400761</v>
      </c>
      <c r="AP497" s="168" t="str">
        <f t="shared" si="305"/>
        <v>-0.0064610882891398+0.255321636710409i</v>
      </c>
      <c r="AQ497" s="98">
        <f t="shared" si="306"/>
        <v>-11.855467370411185</v>
      </c>
      <c r="AR497" s="169">
        <f t="shared" si="307"/>
        <v>91.449599430854022</v>
      </c>
      <c r="AS497" s="168" t="str">
        <f t="shared" si="308"/>
        <v>0.000258460673173856-0.00720248285881013i</v>
      </c>
      <c r="AT497" s="190">
        <f t="shared" si="309"/>
        <v>-42.844766394243727</v>
      </c>
      <c r="AU497" s="169">
        <f t="shared" si="310"/>
        <v>-87.944826193042658</v>
      </c>
      <c r="AV497" s="225"/>
      <c r="AX497">
        <f t="shared" si="311"/>
        <v>0</v>
      </c>
      <c r="AY497">
        <f t="shared" si="312"/>
        <v>0</v>
      </c>
    </row>
    <row r="498" spans="14:51" x14ac:dyDescent="0.25">
      <c r="N498" s="170">
        <v>80</v>
      </c>
      <c r="O498" s="199">
        <f t="shared" si="313"/>
        <v>630957.34448019415</v>
      </c>
      <c r="P498" s="189" t="str">
        <f t="shared" si="279"/>
        <v>87</v>
      </c>
      <c r="Q498" s="160" t="str">
        <f t="shared" si="280"/>
        <v>1+29733.1643722126i</v>
      </c>
      <c r="R498" s="160">
        <f t="shared" si="288"/>
        <v>29733.16438902884</v>
      </c>
      <c r="S498" s="160">
        <f t="shared" si="289"/>
        <v>1.5707626943167956</v>
      </c>
      <c r="T498" s="160" t="str">
        <f t="shared" si="281"/>
        <v>1+19.822109581475i</v>
      </c>
      <c r="U498" s="160">
        <f t="shared" si="290"/>
        <v>19.847317910992484</v>
      </c>
      <c r="V498" s="160">
        <f t="shared" si="291"/>
        <v>1.520390342944687</v>
      </c>
      <c r="W498" s="98" t="str">
        <f t="shared" si="282"/>
        <v>1-2.80813219070896i</v>
      </c>
      <c r="X498" s="160">
        <f t="shared" si="292"/>
        <v>2.9808734291304453</v>
      </c>
      <c r="Y498" s="160">
        <f t="shared" si="293"/>
        <v>-1.2286899537153038</v>
      </c>
      <c r="Z498" s="98" t="str">
        <f t="shared" si="283"/>
        <v>-1.83098432393599+5.89905981144696i</v>
      </c>
      <c r="AA498" s="160">
        <f t="shared" si="294"/>
        <v>6.1766827871866603</v>
      </c>
      <c r="AB498" s="160">
        <f t="shared" si="295"/>
        <v>1.8717539220275436</v>
      </c>
      <c r="AC498" s="171" t="str">
        <f t="shared" si="296"/>
        <v>-0.0280252638917871+0.000258500412690832i</v>
      </c>
      <c r="AD498" s="190">
        <f t="shared" si="297"/>
        <v>-31.048636307842031</v>
      </c>
      <c r="AE498" s="169">
        <f t="shared" si="298"/>
        <v>179.47152816497962</v>
      </c>
      <c r="AF498" s="98" t="str">
        <f t="shared" si="284"/>
        <v>-0.0000673063927557778</v>
      </c>
      <c r="AG498" s="98" t="str">
        <f t="shared" si="285"/>
        <v>0.0399137998532581i</v>
      </c>
      <c r="AH498" s="98">
        <f t="shared" si="299"/>
        <v>3.9913799853258103E-2</v>
      </c>
      <c r="AI498" s="98">
        <f t="shared" si="300"/>
        <v>1.5707963267948966</v>
      </c>
      <c r="AJ498" s="98" t="str">
        <f t="shared" si="286"/>
        <v>1+40.1639884249195i</v>
      </c>
      <c r="AK498" s="98">
        <f t="shared" si="301"/>
        <v>40.176435459073112</v>
      </c>
      <c r="AL498" s="98">
        <f t="shared" si="302"/>
        <v>1.5459035439697149</v>
      </c>
      <c r="AM498" s="98" t="str">
        <f t="shared" si="287"/>
        <v>1+5946.6328744425i</v>
      </c>
      <c r="AN498" s="98">
        <f t="shared" si="303"/>
        <v>5946.6329585236954</v>
      </c>
      <c r="AO498" s="98">
        <f t="shared" si="304"/>
        <v>1.5706281644059132</v>
      </c>
      <c r="AP498" s="168" t="str">
        <f t="shared" si="305"/>
        <v>-0.00617047156901181+0.249517042462279i</v>
      </c>
      <c r="AQ498" s="98">
        <f t="shared" si="306"/>
        <v>-12.055340576207049</v>
      </c>
      <c r="AR498" s="169">
        <f t="shared" si="307"/>
        <v>91.41661640105707</v>
      </c>
      <c r="AS498" s="168" t="str">
        <f t="shared" si="308"/>
        <v>0.000108428835608431-0.0069943760299507i</v>
      </c>
      <c r="AT498" s="190">
        <f t="shared" si="309"/>
        <v>-43.103976884049082</v>
      </c>
      <c r="AU498" s="169">
        <f t="shared" si="310"/>
        <v>-89.111855433963299</v>
      </c>
      <c r="AV498" s="225"/>
      <c r="AX498">
        <f t="shared" si="311"/>
        <v>0</v>
      </c>
      <c r="AY498">
        <f t="shared" si="312"/>
        <v>0</v>
      </c>
    </row>
    <row r="499" spans="14:51" x14ac:dyDescent="0.25">
      <c r="N499" s="170">
        <v>81</v>
      </c>
      <c r="O499" s="199">
        <f t="shared" si="313"/>
        <v>645654.22903465747</v>
      </c>
      <c r="P499" s="189" t="str">
        <f t="shared" si="279"/>
        <v>87</v>
      </c>
      <c r="Q499" s="160" t="str">
        <f t="shared" si="280"/>
        <v>1+30425.738740417i</v>
      </c>
      <c r="R499" s="160">
        <f t="shared" si="288"/>
        <v>30425.738756850453</v>
      </c>
      <c r="S499" s="160">
        <f t="shared" si="289"/>
        <v>1.5707634598854627</v>
      </c>
      <c r="T499" s="160" t="str">
        <f t="shared" si="281"/>
        <v>1+20.2838258269446i</v>
      </c>
      <c r="U499" s="160">
        <f t="shared" si="290"/>
        <v>20.308461048977215</v>
      </c>
      <c r="V499" s="160">
        <f t="shared" si="291"/>
        <v>1.5215358464167696</v>
      </c>
      <c r="W499" s="98" t="str">
        <f t="shared" si="282"/>
        <v>1-2.87354199215049i</v>
      </c>
      <c r="X499" s="160">
        <f t="shared" si="292"/>
        <v>3.0425718694308945</v>
      </c>
      <c r="Y499" s="160">
        <f t="shared" si="293"/>
        <v>-1.2359020615939025</v>
      </c>
      <c r="Z499" s="98" t="str">
        <f t="shared" si="283"/>
        <v>-1.96440450467797+6.03646656609871i</v>
      </c>
      <c r="AA499" s="160">
        <f t="shared" si="294"/>
        <v>6.3480558962273363</v>
      </c>
      <c r="AB499" s="160">
        <f t="shared" si="295"/>
        <v>1.885410684241879</v>
      </c>
      <c r="AC499" s="171" t="str">
        <f t="shared" si="296"/>
        <v>-0.0278210329231292+0.000805580103538849i</v>
      </c>
      <c r="AD499" s="190">
        <f t="shared" si="297"/>
        <v>-31.108895231836115</v>
      </c>
      <c r="AE499" s="169">
        <f t="shared" si="298"/>
        <v>178.34141863596204</v>
      </c>
      <c r="AF499" s="98" t="str">
        <f t="shared" si="284"/>
        <v>-0.0000673063927557778</v>
      </c>
      <c r="AG499" s="98" t="str">
        <f t="shared" si="285"/>
        <v>0.0408435116851357i</v>
      </c>
      <c r="AH499" s="98">
        <f t="shared" si="299"/>
        <v>4.0843511685135697E-2</v>
      </c>
      <c r="AI499" s="98">
        <f t="shared" si="300"/>
        <v>1.5707963267948966</v>
      </c>
      <c r="AJ499" s="98" t="str">
        <f t="shared" si="286"/>
        <v>1+41.0995278972656i</v>
      </c>
      <c r="AK499" s="98">
        <f t="shared" si="301"/>
        <v>41.111691687135831</v>
      </c>
      <c r="AL499" s="98">
        <f t="shared" si="302"/>
        <v>1.5464699467661971</v>
      </c>
      <c r="AM499" s="98" t="str">
        <f t="shared" si="287"/>
        <v>1+6085.14774808338i</v>
      </c>
      <c r="AN499" s="98">
        <f t="shared" si="303"/>
        <v>6085.1478302506539</v>
      </c>
      <c r="AO499" s="98">
        <f t="shared" si="304"/>
        <v>1.5706319922491474</v>
      </c>
      <c r="AP499" s="168" t="str">
        <f t="shared" si="305"/>
        <v>-0.00589291891358478+0.243844094340492i</v>
      </c>
      <c r="AQ499" s="98">
        <f t="shared" si="306"/>
        <v>-12.255219485226213</v>
      </c>
      <c r="AR499" s="169">
        <f t="shared" si="307"/>
        <v>91.384383230576177</v>
      </c>
      <c r="AS499" s="168" t="str">
        <f t="shared" si="308"/>
        <v>-0.0000324888596579775-0.006788741794986i</v>
      </c>
      <c r="AT499" s="190">
        <f t="shared" si="309"/>
        <v>-43.364114717062336</v>
      </c>
      <c r="AU499" s="169">
        <f t="shared" si="310"/>
        <v>-90.27419813346178</v>
      </c>
      <c r="AV499" s="225"/>
      <c r="AX499">
        <f t="shared" si="311"/>
        <v>0</v>
      </c>
      <c r="AY499">
        <f t="shared" si="312"/>
        <v>0</v>
      </c>
    </row>
    <row r="500" spans="14:51" x14ac:dyDescent="0.25">
      <c r="N500" s="170">
        <v>82</v>
      </c>
      <c r="O500" s="199">
        <f t="shared" si="313"/>
        <v>660693.44800759677</v>
      </c>
      <c r="P500" s="189" t="str">
        <f t="shared" si="279"/>
        <v>87</v>
      </c>
      <c r="Q500" s="160" t="str">
        <f t="shared" si="280"/>
        <v>1+31134.4452380337i</v>
      </c>
      <c r="R500" s="160">
        <f t="shared" si="288"/>
        <v>31134.445254093083</v>
      </c>
      <c r="S500" s="160">
        <f t="shared" si="289"/>
        <v>1.5707642080276596</v>
      </c>
      <c r="T500" s="160" t="str">
        <f t="shared" si="281"/>
        <v>1+20.7562968253558i</v>
      </c>
      <c r="U500" s="160">
        <f t="shared" si="290"/>
        <v>20.780371938497044</v>
      </c>
      <c r="V500" s="160">
        <f t="shared" si="291"/>
        <v>1.5226554000799863</v>
      </c>
      <c r="W500" s="98" t="str">
        <f t="shared" si="282"/>
        <v>1-2.94047538359207i</v>
      </c>
      <c r="X500" s="160">
        <f t="shared" si="292"/>
        <v>3.1058646914363366</v>
      </c>
      <c r="Y500" s="160">
        <f t="shared" si="293"/>
        <v>-1.2429851568937857</v>
      </c>
      <c r="Z500" s="98" t="str">
        <f t="shared" si="283"/>
        <v>-2.10411258481897+6.17707393522587i</v>
      </c>
      <c r="AA500" s="160">
        <f t="shared" si="294"/>
        <v>6.5256058853443166</v>
      </c>
      <c r="AB500" s="160">
        <f t="shared" si="295"/>
        <v>1.899101748653556</v>
      </c>
      <c r="AC500" s="171" t="str">
        <f t="shared" si="296"/>
        <v>-0.0276045052626584+0.00134272087359863i</v>
      </c>
      <c r="AD500" s="190">
        <f t="shared" si="297"/>
        <v>-31.170137445203785</v>
      </c>
      <c r="AE500" s="169">
        <f t="shared" si="298"/>
        <v>177.2152497960092</v>
      </c>
      <c r="AF500" s="98" t="str">
        <f t="shared" si="284"/>
        <v>-0.0000673063927557778</v>
      </c>
      <c r="AG500" s="98" t="str">
        <f t="shared" si="285"/>
        <v>0.0417948792875364i</v>
      </c>
      <c r="AH500" s="98">
        <f t="shared" si="299"/>
        <v>4.1794879287536398E-2</v>
      </c>
      <c r="AI500" s="98">
        <f t="shared" si="300"/>
        <v>1.5707963267948966</v>
      </c>
      <c r="AJ500" s="98" t="str">
        <f t="shared" si="286"/>
        <v>1+42.0568588833192i</v>
      </c>
      <c r="AK500" s="98">
        <f t="shared" si="301"/>
        <v>42.068745870674888</v>
      </c>
      <c r="AL500" s="98">
        <f t="shared" si="302"/>
        <v>1.5470234717465254</v>
      </c>
      <c r="AM500" s="98" t="str">
        <f t="shared" si="287"/>
        <v>1+6226.88904760672i</v>
      </c>
      <c r="AN500" s="98">
        <f t="shared" si="303"/>
        <v>6226.8891279036379</v>
      </c>
      <c r="AO500" s="98">
        <f t="shared" si="304"/>
        <v>1.5706357329600367</v>
      </c>
      <c r="AP500" s="168" t="str">
        <f t="shared" si="305"/>
        <v>-0.00562784373583461+0.238299827880948i</v>
      </c>
      <c r="AQ500" s="98">
        <f t="shared" si="306"/>
        <v>-12.455103841085061</v>
      </c>
      <c r="AR500" s="169">
        <f t="shared" si="307"/>
        <v>91.352882912294632</v>
      </c>
      <c r="AS500" s="168" t="str">
        <f t="shared" si="308"/>
        <v>-0.000164616311047444-0.00658570547608768i</v>
      </c>
      <c r="AT500" s="190">
        <f t="shared" si="309"/>
        <v>-43.625241286288841</v>
      </c>
      <c r="AU500" s="169">
        <f t="shared" si="310"/>
        <v>-91.431867291696136</v>
      </c>
      <c r="AV500" s="225"/>
      <c r="AX500">
        <f t="shared" si="311"/>
        <v>0</v>
      </c>
      <c r="AY500">
        <f t="shared" si="312"/>
        <v>0</v>
      </c>
    </row>
    <row r="501" spans="14:51" x14ac:dyDescent="0.25">
      <c r="N501" s="170">
        <v>83</v>
      </c>
      <c r="O501" s="199">
        <f t="shared" si="313"/>
        <v>676082.97539198259</v>
      </c>
      <c r="P501" s="189" t="str">
        <f t="shared" si="279"/>
        <v>87</v>
      </c>
      <c r="Q501" s="160" t="str">
        <f t="shared" si="280"/>
        <v>1+31859.6596306288i</v>
      </c>
      <c r="R501" s="160">
        <f t="shared" si="288"/>
        <v>31859.659646322627</v>
      </c>
      <c r="S501" s="160">
        <f t="shared" si="289"/>
        <v>1.5707649391400609</v>
      </c>
      <c r="T501" s="160" t="str">
        <f t="shared" si="281"/>
        <v>1+21.2397730870858i</v>
      </c>
      <c r="U501" s="160">
        <f t="shared" si="290"/>
        <v>21.263300797169151</v>
      </c>
      <c r="V501" s="160">
        <f t="shared" si="291"/>
        <v>1.5237495863041366</v>
      </c>
      <c r="W501" s="98" t="str">
        <f t="shared" si="282"/>
        <v>1-3.00896785400383i</v>
      </c>
      <c r="X501" s="160">
        <f t="shared" si="292"/>
        <v>3.1707865816589447</v>
      </c>
      <c r="Y501" s="160">
        <f t="shared" si="293"/>
        <v>-1.2499401513615305</v>
      </c>
      <c r="Z501" s="98" t="str">
        <f t="shared" si="283"/>
        <v>-2.25040490392802+6.32095647071674i</v>
      </c>
      <c r="AA501" s="160">
        <f t="shared" si="294"/>
        <v>6.7096060194559195</v>
      </c>
      <c r="AB501" s="160">
        <f t="shared" si="295"/>
        <v>1.9128266008314185</v>
      </c>
      <c r="AC501" s="171" t="str">
        <f t="shared" si="296"/>
        <v>-0.0273758946298386+0.00186964596355172i</v>
      </c>
      <c r="AD501" s="190">
        <f t="shared" si="297"/>
        <v>-31.232424088700025</v>
      </c>
      <c r="AE501" s="169">
        <f t="shared" si="298"/>
        <v>176.0930322252284</v>
      </c>
      <c r="AF501" s="98" t="str">
        <f t="shared" si="284"/>
        <v>-0.0000673063927557778</v>
      </c>
      <c r="AG501" s="98" t="str">
        <f t="shared" si="285"/>
        <v>0.042768407088156i</v>
      </c>
      <c r="AH501" s="98">
        <f t="shared" si="299"/>
        <v>4.2768407088155998E-2</v>
      </c>
      <c r="AI501" s="98">
        <f t="shared" si="300"/>
        <v>1.5707963267948966</v>
      </c>
      <c r="AJ501" s="98" t="str">
        <f t="shared" si="286"/>
        <v>1+43.0364889726411i</v>
      </c>
      <c r="AK501" s="98">
        <f t="shared" si="301"/>
        <v>43.048105452995948</v>
      </c>
      <c r="AL501" s="98">
        <f t="shared" si="302"/>
        <v>1.5475644110394382</v>
      </c>
      <c r="AM501" s="98" t="str">
        <f t="shared" si="287"/>
        <v>1+6371.93192612574i</v>
      </c>
      <c r="AN501" s="98">
        <f t="shared" si="303"/>
        <v>6371.9320045948771</v>
      </c>
      <c r="AO501" s="98">
        <f t="shared" si="304"/>
        <v>1.5706393885219547</v>
      </c>
      <c r="AP501" s="168" t="str">
        <f t="shared" si="305"/>
        <v>-0.00537468572711145+0.232881343956483i</v>
      </c>
      <c r="AQ501" s="98">
        <f t="shared" si="306"/>
        <v>-12.65499339891271</v>
      </c>
      <c r="AR501" s="169">
        <f t="shared" si="307"/>
        <v>91.322098822107606</v>
      </c>
      <c r="AS501" s="168" t="str">
        <f t="shared" si="308"/>
        <v>-0.000288268834580838-0.00638538389288293i</v>
      </c>
      <c r="AT501" s="190">
        <f t="shared" si="309"/>
        <v>-43.887417487612737</v>
      </c>
      <c r="AU501" s="169">
        <f t="shared" si="310"/>
        <v>-92.584868952663982</v>
      </c>
      <c r="AV501" s="225"/>
      <c r="AX501">
        <f t="shared" si="311"/>
        <v>0</v>
      </c>
      <c r="AY501">
        <f t="shared" si="312"/>
        <v>0</v>
      </c>
    </row>
    <row r="502" spans="14:51" x14ac:dyDescent="0.25">
      <c r="N502" s="170">
        <v>84</v>
      </c>
      <c r="O502" s="199">
        <f t="shared" si="313"/>
        <v>691830.97091893724</v>
      </c>
      <c r="P502" s="189" t="str">
        <f t="shared" si="279"/>
        <v>87</v>
      </c>
      <c r="Q502" s="160" t="str">
        <f t="shared" si="280"/>
        <v>1+32601.7664364725i</v>
      </c>
      <c r="R502" s="160">
        <f t="shared" si="288"/>
        <v>32601.766451809093</v>
      </c>
      <c r="S502" s="160">
        <f t="shared" si="289"/>
        <v>1.5707656536103121</v>
      </c>
      <c r="T502" s="160" t="str">
        <f t="shared" si="281"/>
        <v>1+21.7345109576483i</v>
      </c>
      <c r="U502" s="160">
        <f t="shared" si="290"/>
        <v>21.75750368420362</v>
      </c>
      <c r="V502" s="160">
        <f t="shared" si="291"/>
        <v>1.5248189747552234</v>
      </c>
      <c r="W502" s="98" t="str">
        <f t="shared" si="282"/>
        <v>1-3.07905571900018i</v>
      </c>
      <c r="X502" s="160">
        <f t="shared" si="292"/>
        <v>3.2373730277352526</v>
      </c>
      <c r="Y502" s="160">
        <f t="shared" si="293"/>
        <v>-1.2567680403193684</v>
      </c>
      <c r="Z502" s="98" t="str">
        <f t="shared" si="283"/>
        <v>-2.40359176762767+6.46819046099612i</v>
      </c>
      <c r="AA502" s="160">
        <f t="shared" si="294"/>
        <v>6.9003435584852371</v>
      </c>
      <c r="AB502" s="160">
        <f t="shared" si="295"/>
        <v>1.9265845045480667</v>
      </c>
      <c r="AC502" s="171" t="str">
        <f t="shared" si="296"/>
        <v>-0.0271354281036775+0.00238607672059139i</v>
      </c>
      <c r="AD502" s="190">
        <f t="shared" si="297"/>
        <v>-31.295815674703054</v>
      </c>
      <c r="AE502" s="169">
        <f t="shared" si="298"/>
        <v>174.97478369582646</v>
      </c>
      <c r="AF502" s="98" t="str">
        <f t="shared" si="284"/>
        <v>-0.0000673063927557778</v>
      </c>
      <c r="AG502" s="98" t="str">
        <f t="shared" si="285"/>
        <v>0.0437646112643206i</v>
      </c>
      <c r="AH502" s="98">
        <f t="shared" si="299"/>
        <v>4.3764611264320602E-2</v>
      </c>
      <c r="AI502" s="98">
        <f t="shared" si="300"/>
        <v>1.5707963267948966</v>
      </c>
      <c r="AJ502" s="98" t="str">
        <f t="shared" si="286"/>
        <v>1+44.0389375780715i</v>
      </c>
      <c r="AK502" s="98">
        <f t="shared" si="301"/>
        <v>44.050289703988071</v>
      </c>
      <c r="AL502" s="98">
        <f t="shared" si="302"/>
        <v>1.5480930501910857</v>
      </c>
      <c r="AM502" s="98" t="str">
        <f t="shared" si="287"/>
        <v>1+6520.35328729447i</v>
      </c>
      <c r="AN502" s="98">
        <f t="shared" si="303"/>
        <v>6520.3533639774314</v>
      </c>
      <c r="AO502" s="98">
        <f t="shared" si="304"/>
        <v>1.5706429608731285</v>
      </c>
      <c r="AP502" s="168" t="str">
        <f t="shared" si="305"/>
        <v>-0.00513290968516742+0.227585807432138i</v>
      </c>
      <c r="AQ502" s="98">
        <f t="shared" si="306"/>
        <v>-12.854887924834848</v>
      </c>
      <c r="AR502" s="169">
        <f t="shared" si="307"/>
        <v>91.292014710478028</v>
      </c>
      <c r="AS502" s="168" t="str">
        <f t="shared" si="308"/>
        <v>-0.000403753495326289-0.00618788583130085i</v>
      </c>
      <c r="AT502" s="190">
        <f t="shared" si="309"/>
        <v>-44.150703599537891</v>
      </c>
      <c r="AU502" s="169">
        <f t="shared" si="310"/>
        <v>-93.733201593695512</v>
      </c>
      <c r="AV502" s="225"/>
      <c r="AX502">
        <f t="shared" si="311"/>
        <v>0</v>
      </c>
      <c r="AY502">
        <f t="shared" si="312"/>
        <v>0</v>
      </c>
    </row>
    <row r="503" spans="14:51" x14ac:dyDescent="0.25">
      <c r="N503" s="170">
        <v>85</v>
      </c>
      <c r="O503" s="199">
        <f t="shared" si="313"/>
        <v>707945.78438413853</v>
      </c>
      <c r="P503" s="189" t="str">
        <f t="shared" si="279"/>
        <v>87</v>
      </c>
      <c r="Q503" s="160" t="str">
        <f t="shared" si="280"/>
        <v>1+33361.1591304162i</v>
      </c>
      <c r="R503" s="160">
        <f t="shared" si="288"/>
        <v>33361.159145403682</v>
      </c>
      <c r="S503" s="160">
        <f t="shared" si="289"/>
        <v>1.570766351817235</v>
      </c>
      <c r="T503" s="160" t="str">
        <f t="shared" si="281"/>
        <v>1+22.2407727536108i</v>
      </c>
      <c r="U503" s="160">
        <f t="shared" si="290"/>
        <v>22.263242636187492</v>
      </c>
      <c r="V503" s="160">
        <f t="shared" si="291"/>
        <v>1.5258641226480445</v>
      </c>
      <c r="W503" s="98" t="str">
        <f t="shared" si="282"/>
        <v>1-3.15077614009486i</v>
      </c>
      <c r="X503" s="160">
        <f t="shared" si="292"/>
        <v>3.3056603402332589</v>
      </c>
      <c r="Y503" s="160">
        <f t="shared" si="293"/>
        <v>-1.2634698966022526</v>
      </c>
      <c r="Z503" s="98" t="str">
        <f t="shared" si="283"/>
        <v>-2.56399810579397+6.61885397147456i</v>
      </c>
      <c r="AA503" s="160">
        <f t="shared" si="294"/>
        <v>7.0981204682802916</v>
      </c>
      <c r="AB503" s="160">
        <f t="shared" si="295"/>
        <v>1.9403744982282833</v>
      </c>
      <c r="AC503" s="171" t="str">
        <f t="shared" si="296"/>
        <v>-0.0268833469435015+0.00289173344618479i</v>
      </c>
      <c r="AD503" s="190">
        <f t="shared" si="297"/>
        <v>-31.360371966654618</v>
      </c>
      <c r="AE503" s="169">
        <f t="shared" si="298"/>
        <v>173.86052973744114</v>
      </c>
      <c r="AF503" s="98" t="str">
        <f t="shared" si="284"/>
        <v>-0.0000673063927557778</v>
      </c>
      <c r="AG503" s="98" t="str">
        <f t="shared" si="285"/>
        <v>0.0447840200166706i</v>
      </c>
      <c r="AH503" s="98">
        <f t="shared" si="299"/>
        <v>4.4784020016670603E-2</v>
      </c>
      <c r="AI503" s="98">
        <f t="shared" si="300"/>
        <v>1.5707963267948966</v>
      </c>
      <c r="AJ503" s="98" t="str">
        <f t="shared" si="286"/>
        <v>1+45.0647362111302i</v>
      </c>
      <c r="AK503" s="98">
        <f t="shared" si="301"/>
        <v>45.075829995450448</v>
      </c>
      <c r="AL503" s="98">
        <f t="shared" si="302"/>
        <v>1.5486096683104011</v>
      </c>
      <c r="AM503" s="98" t="str">
        <f t="shared" si="287"/>
        <v>1+6672.23182608322i</v>
      </c>
      <c r="AN503" s="98">
        <f t="shared" si="303"/>
        <v>6672.2319010206638</v>
      </c>
      <c r="AO503" s="98">
        <f t="shared" si="304"/>
        <v>1.5706464519076657</v>
      </c>
      <c r="AP503" s="168" t="str">
        <f t="shared" si="305"/>
        <v>-0.00490200439398799+0.222410445841568i</v>
      </c>
      <c r="AQ503" s="98">
        <f t="shared" si="306"/>
        <v>-13.054787195480948</v>
      </c>
      <c r="AR503" s="169">
        <f t="shared" si="307"/>
        <v>91.262614694166373</v>
      </c>
      <c r="AS503" s="168" t="str">
        <f t="shared" si="308"/>
        <v>-0.000511369440178785-0.00599331246947716i</v>
      </c>
      <c r="AT503" s="190">
        <f t="shared" si="309"/>
        <v>-44.415159162135573</v>
      </c>
      <c r="AU503" s="169">
        <f t="shared" si="310"/>
        <v>-94.876855568392472</v>
      </c>
      <c r="AV503" s="225"/>
      <c r="AX503">
        <f t="shared" si="311"/>
        <v>0</v>
      </c>
      <c r="AY503">
        <f t="shared" si="312"/>
        <v>0</v>
      </c>
    </row>
    <row r="504" spans="14:51" x14ac:dyDescent="0.25">
      <c r="N504" s="170">
        <v>86</v>
      </c>
      <c r="O504" s="199">
        <f t="shared" si="313"/>
        <v>724435.96007499192</v>
      </c>
      <c r="P504" s="189" t="str">
        <f t="shared" si="279"/>
        <v>87</v>
      </c>
      <c r="Q504" s="160" t="str">
        <f t="shared" si="280"/>
        <v>1+34138.2403525181i</v>
      </c>
      <c r="R504" s="160">
        <f t="shared" si="288"/>
        <v>34138.240367164428</v>
      </c>
      <c r="S504" s="160">
        <f t="shared" si="289"/>
        <v>1.570767034131028</v>
      </c>
      <c r="T504" s="160" t="str">
        <f t="shared" si="281"/>
        <v>1+22.7588269016786i</v>
      </c>
      <c r="U504" s="160">
        <f t="shared" si="290"/>
        <v>22.780785806037716</v>
      </c>
      <c r="V504" s="160">
        <f t="shared" si="291"/>
        <v>1.5268855749954433</v>
      </c>
      <c r="W504" s="98" t="str">
        <f t="shared" si="282"/>
        <v>1-3.22416714440448i</v>
      </c>
      <c r="X504" s="160">
        <f t="shared" si="292"/>
        <v>3.3756856748010975</v>
      </c>
      <c r="Y504" s="160">
        <f t="shared" si="293"/>
        <v>-1.2700468646763643</v>
      </c>
      <c r="Z504" s="98" t="str">
        <f t="shared" si="283"/>
        <v>-2.73196416177621+6.77302688593957i</v>
      </c>
      <c r="AA504" s="160">
        <f t="shared" si="294"/>
        <v>7.3032541636512871</v>
      </c>
      <c r="AB504" s="160">
        <f t="shared" si="295"/>
        <v>1.9541953922073807</v>
      </c>
      <c r="AC504" s="171" t="str">
        <f t="shared" si="296"/>
        <v>-0.0266199073436704+0.00338633634847983i</v>
      </c>
      <c r="AD504" s="190">
        <f t="shared" si="297"/>
        <v>-31.426151857856944</v>
      </c>
      <c r="AE504" s="169">
        <f t="shared" si="298"/>
        <v>172.75030414548124</v>
      </c>
      <c r="AF504" s="98" t="str">
        <f t="shared" si="284"/>
        <v>-0.0000673063927557778</v>
      </c>
      <c r="AG504" s="98" t="str">
        <f t="shared" si="285"/>
        <v>0.0458271738492201i</v>
      </c>
      <c r="AH504" s="98">
        <f t="shared" si="299"/>
        <v>4.5827173849220103E-2</v>
      </c>
      <c r="AI504" s="98">
        <f t="shared" si="300"/>
        <v>1.5707963267948966</v>
      </c>
      <c r="AJ504" s="98" t="str">
        <f t="shared" si="286"/>
        <v>1+46.1144287638304i</v>
      </c>
      <c r="AK504" s="98">
        <f t="shared" si="301"/>
        <v>46.125270082834078</v>
      </c>
      <c r="AL504" s="98">
        <f t="shared" si="302"/>
        <v>1.5491145382114579</v>
      </c>
      <c r="AM504" s="98" t="str">
        <f t="shared" si="287"/>
        <v>1+6827.64807050359i</v>
      </c>
      <c r="AN504" s="98">
        <f t="shared" si="303"/>
        <v>6827.6481437352486</v>
      </c>
      <c r="AO504" s="98">
        <f t="shared" si="304"/>
        <v>1.5706498634765587</v>
      </c>
      <c r="AP504" s="168" t="str">
        <f t="shared" si="305"/>
        <v>-0.00468148155317898+0.217352548084745i</v>
      </c>
      <c r="AQ504" s="98">
        <f t="shared" si="306"/>
        <v>-13.254690997513563</v>
      </c>
      <c r="AR504" s="169">
        <f t="shared" si="307"/>
        <v>91.233883248131704</v>
      </c>
      <c r="AS504" s="168" t="str">
        <f t="shared" si="308"/>
        <v>-0.000611408228837355-0.00580175776207484i</v>
      </c>
      <c r="AT504" s="190">
        <f t="shared" si="309"/>
        <v>-44.680842855370521</v>
      </c>
      <c r="AU504" s="169">
        <f t="shared" si="310"/>
        <v>-96.01581260638703</v>
      </c>
      <c r="AV504" s="225"/>
      <c r="AX504">
        <f t="shared" si="311"/>
        <v>0</v>
      </c>
      <c r="AY504">
        <f t="shared" si="312"/>
        <v>0</v>
      </c>
    </row>
    <row r="505" spans="14:51" x14ac:dyDescent="0.25">
      <c r="N505" s="170">
        <v>87</v>
      </c>
      <c r="O505" s="199">
        <f t="shared" si="313"/>
        <v>741310.24130091805</v>
      </c>
      <c r="P505" s="189" t="str">
        <f t="shared" si="279"/>
        <v>87</v>
      </c>
      <c r="Q505" s="160" t="str">
        <f t="shared" si="280"/>
        <v>1+34933.4221215277i</v>
      </c>
      <c r="R505" s="160">
        <f t="shared" si="288"/>
        <v>34933.422135840636</v>
      </c>
      <c r="S505" s="160">
        <f t="shared" si="289"/>
        <v>1.5707677009134628</v>
      </c>
      <c r="T505" s="160" t="str">
        <f t="shared" si="281"/>
        <v>1+23.2889480810184i</v>
      </c>
      <c r="U505" s="160">
        <f t="shared" si="290"/>
        <v>23.31040760519581</v>
      </c>
      <c r="V505" s="160">
        <f t="shared" si="291"/>
        <v>1.5278838648541415</v>
      </c>
      <c r="W505" s="98" t="str">
        <f t="shared" si="282"/>
        <v>1-3.29926764481095i</v>
      </c>
      <c r="X505" s="160">
        <f t="shared" si="292"/>
        <v>3.4474870546669778</v>
      </c>
      <c r="Y505" s="160">
        <f t="shared" si="293"/>
        <v>-1.2765001549488424</v>
      </c>
      <c r="Z505" s="98" t="str">
        <f t="shared" si="283"/>
        <v>-2.90784621409868+6.93079094891108i</v>
      </c>
      <c r="AA505" s="160">
        <f t="shared" si="294"/>
        <v>7.5160782847410372</v>
      </c>
      <c r="AB505" s="160">
        <f t="shared" si="295"/>
        <v>1.9680457668443438</v>
      </c>
      <c r="AC505" s="171" t="str">
        <f t="shared" si="296"/>
        <v>-0.0263453811107848+0.00386960659439732i</v>
      </c>
      <c r="AD505" s="190">
        <f t="shared" si="297"/>
        <v>-31.493213249854367</v>
      </c>
      <c r="AE505" s="169">
        <f t="shared" si="298"/>
        <v>171.64414942933718</v>
      </c>
      <c r="AF505" s="98" t="str">
        <f t="shared" si="284"/>
        <v>-0.0000673063927557778</v>
      </c>
      <c r="AG505" s="98" t="str">
        <f t="shared" si="285"/>
        <v>0.0468946258559387i</v>
      </c>
      <c r="AH505" s="98">
        <f t="shared" si="299"/>
        <v>4.6894625855938697E-2</v>
      </c>
      <c r="AI505" s="98">
        <f t="shared" si="300"/>
        <v>1.5707963267948966</v>
      </c>
      <c r="AJ505" s="98" t="str">
        <f t="shared" si="286"/>
        <v>1+47.1885717970575i</v>
      </c>
      <c r="AK505" s="98">
        <f t="shared" si="301"/>
        <v>47.199166393550328</v>
      </c>
      <c r="AL505" s="98">
        <f t="shared" si="302"/>
        <v>1.5496079265528655</v>
      </c>
      <c r="AM505" s="98" t="str">
        <f t="shared" si="287"/>
        <v>1+6986.68442430552i</v>
      </c>
      <c r="AN505" s="98">
        <f t="shared" si="303"/>
        <v>6986.6844958702231</v>
      </c>
      <c r="AO505" s="98">
        <f t="shared" si="304"/>
        <v>1.5706531973886659</v>
      </c>
      <c r="AP505" s="168" t="str">
        <f t="shared" si="305"/>
        <v>-0.00447087475475359+0.212409463147058i</v>
      </c>
      <c r="AQ505" s="98">
        <f t="shared" si="306"/>
        <v>-13.454599127178595</v>
      </c>
      <c r="AR505" s="169">
        <f t="shared" si="307"/>
        <v>91.205805197601137</v>
      </c>
      <c r="AS505" s="168" t="str">
        <f t="shared" si="308"/>
        <v>-0.00070415415999368-0.00561330878458016i</v>
      </c>
      <c r="AT505" s="190">
        <f t="shared" si="309"/>
        <v>-44.94781237703296</v>
      </c>
      <c r="AU505" s="169">
        <f t="shared" si="310"/>
        <v>-97.150045373061673</v>
      </c>
      <c r="AV505" s="225"/>
      <c r="AX505">
        <f t="shared" si="311"/>
        <v>0</v>
      </c>
      <c r="AY505">
        <f t="shared" si="312"/>
        <v>0</v>
      </c>
    </row>
    <row r="506" spans="14:51" x14ac:dyDescent="0.25">
      <c r="N506" s="170">
        <v>88</v>
      </c>
      <c r="O506" s="199">
        <f t="shared" si="313"/>
        <v>758577.57502918423</v>
      </c>
      <c r="P506" s="189" t="str">
        <f t="shared" si="279"/>
        <v>87</v>
      </c>
      <c r="Q506" s="160" t="str">
        <f t="shared" si="280"/>
        <v>1+35747.1260533448i</v>
      </c>
      <c r="R506" s="160">
        <f t="shared" si="288"/>
        <v>35747.126067331941</v>
      </c>
      <c r="S506" s="160">
        <f t="shared" si="289"/>
        <v>1.5707683525180764</v>
      </c>
      <c r="T506" s="160" t="str">
        <f t="shared" si="281"/>
        <v>1+23.8314173688964i</v>
      </c>
      <c r="U506" s="160">
        <f t="shared" si="290"/>
        <v>23.852388849139135</v>
      </c>
      <c r="V506" s="160">
        <f t="shared" si="291"/>
        <v>1.5288595135670766</v>
      </c>
      <c r="W506" s="98" t="str">
        <f t="shared" si="282"/>
        <v>1-3.37611746059367i</v>
      </c>
      <c r="X506" s="160">
        <f t="shared" si="292"/>
        <v>3.5211033935011695</v>
      </c>
      <c r="Y506" s="160">
        <f t="shared" si="293"/>
        <v>-1.2828310382765558</v>
      </c>
      <c r="Z506" s="98" t="str">
        <f t="shared" si="283"/>
        <v>-3.09201733217536+7.09222980898358i</v>
      </c>
      <c r="AA506" s="160">
        <f t="shared" si="294"/>
        <v>7.7369435079951367</v>
      </c>
      <c r="AB506" s="160">
        <f t="shared" si="295"/>
        <v>1.9819239715318406</v>
      </c>
      <c r="AC506" s="171" t="str">
        <f t="shared" si="296"/>
        <v>-0.026060056252184+0.00434126745517123i</v>
      </c>
      <c r="AD506" s="190">
        <f t="shared" si="297"/>
        <v>-31.561612930682426</v>
      </c>
      <c r="AE506" s="169">
        <f t="shared" si="298"/>
        <v>170.54211719760139</v>
      </c>
      <c r="AF506" s="98" t="str">
        <f t="shared" si="284"/>
        <v>-0.0000673063927557778</v>
      </c>
      <c r="AG506" s="98" t="str">
        <f t="shared" si="285"/>
        <v>0.0479869420140099i</v>
      </c>
      <c r="AH506" s="98">
        <f t="shared" si="299"/>
        <v>4.7986942014009902E-2</v>
      </c>
      <c r="AI506" s="98">
        <f t="shared" si="300"/>
        <v>1.5707963267948966</v>
      </c>
      <c r="AJ506" s="98" t="str">
        <f t="shared" si="286"/>
        <v>1+48.2877348356662i</v>
      </c>
      <c r="AK506" s="98">
        <f t="shared" si="301"/>
        <v>48.298088321998954</v>
      </c>
      <c r="AL506" s="98">
        <f t="shared" si="302"/>
        <v>1.5500900939742499</v>
      </c>
      <c r="AM506" s="98" t="str">
        <f t="shared" si="287"/>
        <v>1+7149.42521066893i</v>
      </c>
      <c r="AN506" s="98">
        <f t="shared" si="303"/>
        <v>7149.4252806046225</v>
      </c>
      <c r="AO506" s="98">
        <f t="shared" si="304"/>
        <v>1.5706564554116718</v>
      </c>
      <c r="AP506" s="168" t="str">
        <f t="shared" si="305"/>
        <v>-0.00426973850525561+0.207578598839872i</v>
      </c>
      <c r="AQ506" s="98">
        <f t="shared" si="306"/>
        <v>-13.654511389875461</v>
      </c>
      <c r="AR506" s="169">
        <f t="shared" si="307"/>
        <v>91.178365710304874</v>
      </c>
      <c r="AS506" s="168" t="str">
        <f t="shared" si="308"/>
        <v>-0.000789884589904504-0.00542804603933156i</v>
      </c>
      <c r="AT506" s="190">
        <f t="shared" si="309"/>
        <v>-45.216124320557888</v>
      </c>
      <c r="AU506" s="169">
        <f t="shared" si="310"/>
        <v>-98.279517092093727</v>
      </c>
      <c r="AV506" s="225"/>
      <c r="AX506">
        <f t="shared" si="311"/>
        <v>0</v>
      </c>
      <c r="AY506">
        <f t="shared" si="312"/>
        <v>0</v>
      </c>
    </row>
    <row r="507" spans="14:51" x14ac:dyDescent="0.25">
      <c r="N507" s="170">
        <v>89</v>
      </c>
      <c r="O507" s="199">
        <f t="shared" si="313"/>
        <v>776247.11662869214</v>
      </c>
      <c r="P507" s="189" t="str">
        <f t="shared" si="279"/>
        <v>87</v>
      </c>
      <c r="Q507" s="160" t="str">
        <f t="shared" si="280"/>
        <v>1+36579.7835845645i</v>
      </c>
      <c r="R507" s="160">
        <f t="shared" si="288"/>
        <v>36579.783598233254</v>
      </c>
      <c r="S507" s="160">
        <f t="shared" si="289"/>
        <v>1.5707689892903585</v>
      </c>
      <c r="T507" s="160" t="str">
        <f t="shared" si="281"/>
        <v>1+24.3865223897096i</v>
      </c>
      <c r="U507" s="160">
        <f t="shared" si="290"/>
        <v>24.407016906287577</v>
      </c>
      <c r="V507" s="160">
        <f t="shared" si="291"/>
        <v>1.5298130310021922</v>
      </c>
      <c r="W507" s="98" t="str">
        <f t="shared" si="282"/>
        <v>1-3.4547573385422i</v>
      </c>
      <c r="X507" s="160">
        <f t="shared" si="292"/>
        <v>3.5965745186512099</v>
      </c>
      <c r="Y507" s="160">
        <f t="shared" si="293"/>
        <v>-1.289040840679861</v>
      </c>
      <c r="Z507" s="98" t="str">
        <f t="shared" si="283"/>
        <v>-3.2848681676399+7.25742906317758i</v>
      </c>
      <c r="AA507" s="160">
        <f t="shared" si="294"/>
        <v>7.9662183930537909</v>
      </c>
      <c r="AB507" s="160">
        <f t="shared" si="295"/>
        <v>1.9958281246415543</v>
      </c>
      <c r="AC507" s="171" t="str">
        <f t="shared" si="296"/>
        <v>-0.0257642374649467+0.00480104553780572i</v>
      </c>
      <c r="AD507" s="190">
        <f t="shared" si="297"/>
        <v>-31.631406453316899</v>
      </c>
      <c r="AE507" s="169">
        <f t="shared" si="298"/>
        <v>169.44426847775156</v>
      </c>
      <c r="AF507" s="98" t="str">
        <f t="shared" si="284"/>
        <v>-0.0000673063927557778</v>
      </c>
      <c r="AG507" s="98" t="str">
        <f t="shared" si="285"/>
        <v>0.0491047014839192i</v>
      </c>
      <c r="AH507" s="98">
        <f t="shared" si="299"/>
        <v>4.9104701483919197E-2</v>
      </c>
      <c r="AI507" s="98">
        <f t="shared" si="300"/>
        <v>1.5707963267948966</v>
      </c>
      <c r="AJ507" s="98" t="str">
        <f t="shared" si="286"/>
        <v>1+49.4125006704485i</v>
      </c>
      <c r="AK507" s="98">
        <f t="shared" si="301"/>
        <v>49.422618531468707</v>
      </c>
      <c r="AL507" s="98">
        <f t="shared" si="302"/>
        <v>1.5505612952298709</v>
      </c>
      <c r="AM507" s="98" t="str">
        <f t="shared" si="287"/>
        <v>1+7315.95671691288i</v>
      </c>
      <c r="AN507" s="98">
        <f t="shared" si="303"/>
        <v>7315.9567852566415</v>
      </c>
      <c r="AO507" s="98">
        <f t="shared" si="304"/>
        <v>1.5706596392730225</v>
      </c>
      <c r="AP507" s="168" t="str">
        <f t="shared" si="305"/>
        <v>-0.00407764729124097+0.202857420562559i</v>
      </c>
      <c r="AQ507" s="98">
        <f t="shared" si="306"/>
        <v>-13.854427599746614</v>
      </c>
      <c r="AR507" s="169">
        <f t="shared" si="307"/>
        <v>91.151550288874489</v>
      </c>
      <c r="AS507" s="168" t="str">
        <f t="shared" si="308"/>
        <v>-0.000868870240692823-0.00524604372523269i</v>
      </c>
      <c r="AT507" s="190">
        <f t="shared" si="309"/>
        <v>-45.485834053063513</v>
      </c>
      <c r="AU507" s="169">
        <f t="shared" si="310"/>
        <v>-99.404181233373905</v>
      </c>
      <c r="AV507" s="225"/>
      <c r="AX507">
        <f t="shared" si="311"/>
        <v>0</v>
      </c>
      <c r="AY507">
        <f t="shared" si="312"/>
        <v>0</v>
      </c>
    </row>
    <row r="508" spans="14:51" x14ac:dyDescent="0.25">
      <c r="N508" s="170">
        <v>90</v>
      </c>
      <c r="O508" s="199">
        <f t="shared" si="313"/>
        <v>794328.23472428333</v>
      </c>
      <c r="P508" s="189" t="str">
        <f t="shared" si="279"/>
        <v>87</v>
      </c>
      <c r="Q508" s="160" t="str">
        <f t="shared" si="280"/>
        <v>1+37431.8362012315i</v>
      </c>
      <c r="R508" s="160">
        <f t="shared" si="288"/>
        <v>37431.836214589108</v>
      </c>
      <c r="S508" s="160">
        <f t="shared" si="289"/>
        <v>1.5707696115679335</v>
      </c>
      <c r="T508" s="160" t="str">
        <f t="shared" si="281"/>
        <v>1+24.9545574674876i</v>
      </c>
      <c r="U508" s="160">
        <f t="shared" si="290"/>
        <v>24.974585850382809</v>
      </c>
      <c r="V508" s="160">
        <f t="shared" si="291"/>
        <v>1.5307449157876307</v>
      </c>
      <c r="W508" s="98" t="str">
        <f t="shared" si="282"/>
        <v>1-3.53522897456075i</v>
      </c>
      <c r="X508" s="160">
        <f t="shared" si="292"/>
        <v>3.6739411947626284</v>
      </c>
      <c r="Y508" s="160">
        <f t="shared" si="293"/>
        <v>-1.2951309382656411</v>
      </c>
      <c r="Z508" s="98" t="str">
        <f t="shared" si="283"/>
        <v>-3.4868077829703+7.42647630232431i</v>
      </c>
      <c r="AA508" s="160">
        <f t="shared" si="294"/>
        <v>8.2042902669497746</v>
      </c>
      <c r="AB508" s="160">
        <f t="shared" si="295"/>
        <v>2.0097561144391625</v>
      </c>
      <c r="AC508" s="171" t="str">
        <f t="shared" si="296"/>
        <v>-0.025458246515149+0.00524867209363209i</v>
      </c>
      <c r="AD508" s="190">
        <f t="shared" si="297"/>
        <v>-31.702648014715017</v>
      </c>
      <c r="AE508" s="169">
        <f t="shared" si="298"/>
        <v>168.35067396807872</v>
      </c>
      <c r="AF508" s="98" t="str">
        <f t="shared" si="284"/>
        <v>-0.0000673063927557778</v>
      </c>
      <c r="AG508" s="98" t="str">
        <f t="shared" si="285"/>
        <v>0.050248496916533i</v>
      </c>
      <c r="AH508" s="98">
        <f t="shared" si="299"/>
        <v>5.0248496916532999E-2</v>
      </c>
      <c r="AI508" s="98">
        <f t="shared" si="300"/>
        <v>1.5707963267948966</v>
      </c>
      <c r="AJ508" s="98" t="str">
        <f t="shared" si="286"/>
        <v>1+50.5634656671381i</v>
      </c>
      <c r="AK508" s="98">
        <f t="shared" si="301"/>
        <v>50.573353263075731</v>
      </c>
      <c r="AL508" s="98">
        <f t="shared" si="302"/>
        <v>1.5510217793194225</v>
      </c>
      <c r="AM508" s="98" t="str">
        <f t="shared" si="287"/>
        <v>1+7486.36724024628i</v>
      </c>
      <c r="AN508" s="98">
        <f t="shared" si="303"/>
        <v>7486.3673070343475</v>
      </c>
      <c r="AO508" s="98">
        <f t="shared" si="304"/>
        <v>1.5706627506608437</v>
      </c>
      <c r="AP508" s="168" t="str">
        <f t="shared" si="305"/>
        <v>-0.00389419468622296+0.198243450085989i</v>
      </c>
      <c r="AQ508" s="98">
        <f t="shared" si="306"/>
        <v>-14.054347579285555</v>
      </c>
      <c r="AR508" s="169">
        <f t="shared" si="307"/>
        <v>91.125344763400832</v>
      </c>
      <c r="AS508" s="168" t="str">
        <f t="shared" si="308"/>
        <v>-0.000941375495911829-0.00506736997327949i</v>
      </c>
      <c r="AT508" s="190">
        <f t="shared" si="309"/>
        <v>-45.756995594000571</v>
      </c>
      <c r="AU508" s="169">
        <f t="shared" si="310"/>
        <v>-100.52398126852043</v>
      </c>
      <c r="AV508" s="225"/>
      <c r="AX508">
        <f t="shared" si="311"/>
        <v>0</v>
      </c>
      <c r="AY508">
        <f t="shared" si="312"/>
        <v>0</v>
      </c>
    </row>
    <row r="509" spans="14:51" x14ac:dyDescent="0.25">
      <c r="N509" s="170">
        <v>91</v>
      </c>
      <c r="O509" s="199">
        <f t="shared" si="313"/>
        <v>812830.51616410096</v>
      </c>
      <c r="P509" s="189" t="str">
        <f t="shared" si="279"/>
        <v>87</v>
      </c>
      <c r="Q509" s="160" t="str">
        <f t="shared" si="280"/>
        <v>1+38303.7356729212i</v>
      </c>
      <c r="R509" s="160">
        <f t="shared" si="288"/>
        <v>38303.735685974752</v>
      </c>
      <c r="S509" s="160">
        <f t="shared" si="289"/>
        <v>1.5707702196807416</v>
      </c>
      <c r="T509" s="160" t="str">
        <f t="shared" si="281"/>
        <v>1+25.5358237819474i</v>
      </c>
      <c r="U509" s="160">
        <f t="shared" si="290"/>
        <v>25.555396616422733</v>
      </c>
      <c r="V509" s="160">
        <f t="shared" si="291"/>
        <v>1.5316556555432901</v>
      </c>
      <c r="W509" s="98" t="str">
        <f t="shared" si="282"/>
        <v>1-3.61757503577589i</v>
      </c>
      <c r="X509" s="160">
        <f t="shared" si="292"/>
        <v>3.7532451477979603</v>
      </c>
      <c r="Y509" s="160">
        <f t="shared" si="293"/>
        <v>-1.3011027523623646</v>
      </c>
      <c r="Z509" s="98" t="str">
        <f t="shared" si="283"/>
        <v>-3.69826451916517+7.59946115750755i</v>
      </c>
      <c r="AA509" s="160">
        <f t="shared" si="294"/>
        <v>8.451566147063037</v>
      </c>
      <c r="AB509" s="160">
        <f t="shared" si="295"/>
        <v>2.0237056009980643</v>
      </c>
      <c r="AC509" s="171" t="str">
        <f t="shared" si="296"/>
        <v>-0.0251424224978893+0.00568388439387884i</v>
      </c>
      <c r="AD509" s="190">
        <f t="shared" si="297"/>
        <v>-31.775390335885248</v>
      </c>
      <c r="AE509" s="169">
        <f t="shared" si="298"/>
        <v>167.26141422003681</v>
      </c>
      <c r="AF509" s="98" t="str">
        <f t="shared" si="284"/>
        <v>-0.0000673063927557778</v>
      </c>
      <c r="AG509" s="98" t="str">
        <f t="shared" si="285"/>
        <v>0.0514189347673293i</v>
      </c>
      <c r="AH509" s="98">
        <f t="shared" si="299"/>
        <v>5.1418934767329297E-2</v>
      </c>
      <c r="AI509" s="98">
        <f t="shared" si="300"/>
        <v>1.5707963267948966</v>
      </c>
      <c r="AJ509" s="98" t="str">
        <f t="shared" si="286"/>
        <v>1+51.7412400826109i</v>
      </c>
      <c r="AK509" s="98">
        <f t="shared" si="301"/>
        <v>51.750902651899523</v>
      </c>
      <c r="AL509" s="98">
        <f t="shared" si="302"/>
        <v>1.5514717896160672</v>
      </c>
      <c r="AM509" s="98" t="str">
        <f t="shared" si="287"/>
        <v>1+7660.74713458422i</v>
      </c>
      <c r="AN509" s="98">
        <f t="shared" si="303"/>
        <v>7660.7471998520041</v>
      </c>
      <c r="AO509" s="98">
        <f t="shared" si="304"/>
        <v>1.5706657912248339</v>
      </c>
      <c r="AP509" s="168" t="str">
        <f t="shared" si="305"/>
        <v>-0.00371899249726808+0.193734264357451i</v>
      </c>
      <c r="AQ509" s="98">
        <f t="shared" si="306"/>
        <v>-14.254271158961963</v>
      </c>
      <c r="AR509" s="169">
        <f t="shared" si="307"/>
        <v>91.099735284149631</v>
      </c>
      <c r="AS509" s="168" t="str">
        <f t="shared" si="308"/>
        <v>-0.00100765868110812-0.00489208705020898i</v>
      </c>
      <c r="AT509" s="190">
        <f t="shared" si="309"/>
        <v>-46.029661494847218</v>
      </c>
      <c r="AU509" s="169">
        <f t="shared" si="310"/>
        <v>-101.63885049581356</v>
      </c>
      <c r="AV509" s="225"/>
      <c r="AX509">
        <f t="shared" si="311"/>
        <v>0</v>
      </c>
      <c r="AY509">
        <f t="shared" si="312"/>
        <v>0</v>
      </c>
    </row>
    <row r="510" spans="14:51" x14ac:dyDescent="0.25">
      <c r="N510" s="170">
        <v>92</v>
      </c>
      <c r="O510" s="199">
        <f t="shared" si="313"/>
        <v>831763.77110267128</v>
      </c>
      <c r="P510" s="189" t="str">
        <f t="shared" si="279"/>
        <v>87</v>
      </c>
      <c r="Q510" s="160" t="str">
        <f t="shared" si="280"/>
        <v>1+39195.9442922745i</v>
      </c>
      <c r="R510" s="160">
        <f t="shared" si="288"/>
        <v>39195.94430503092</v>
      </c>
      <c r="S510" s="160">
        <f t="shared" si="289"/>
        <v>1.5707708139512124</v>
      </c>
      <c r="T510" s="160" t="str">
        <f t="shared" si="281"/>
        <v>1+26.130629528183i</v>
      </c>
      <c r="U510" s="160">
        <f t="shared" si="290"/>
        <v>26.149757160232856</v>
      </c>
      <c r="V510" s="160">
        <f t="shared" si="291"/>
        <v>1.5325457271087148</v>
      </c>
      <c r="W510" s="98" t="str">
        <f t="shared" si="282"/>
        <v>1-3.70183918315926i</v>
      </c>
      <c r="X510" s="160">
        <f t="shared" si="292"/>
        <v>3.834529089467599</v>
      </c>
      <c r="Y510" s="160">
        <f t="shared" si="293"/>
        <v>-1.3069577448685241</v>
      </c>
      <c r="Z510" s="98" t="str">
        <f t="shared" si="283"/>
        <v>-3.91968690431247+7.77647534758725i</v>
      </c>
      <c r="AA510" s="160">
        <f t="shared" si="294"/>
        <v>8.7084737043566314</v>
      </c>
      <c r="AB510" s="160">
        <f t="shared" si="295"/>
        <v>2.0376740191353178</v>
      </c>
      <c r="AC510" s="171" t="str">
        <f t="shared" si="296"/>
        <v>-0.0248171219694764+0.00610642716095796i</v>
      </c>
      <c r="AD510" s="190">
        <f t="shared" si="297"/>
        <v>-31.849684543475398</v>
      </c>
      <c r="AE510" s="169">
        <f t="shared" si="298"/>
        <v>166.17657974958814</v>
      </c>
      <c r="AF510" s="98" t="str">
        <f t="shared" si="284"/>
        <v>-0.0000673063927557778</v>
      </c>
      <c r="AG510" s="98" t="str">
        <f t="shared" si="285"/>
        <v>0.0526166356179492i</v>
      </c>
      <c r="AH510" s="98">
        <f t="shared" si="299"/>
        <v>5.2616635617949201E-2</v>
      </c>
      <c r="AI510" s="98">
        <f t="shared" si="300"/>
        <v>1.5707963267948966</v>
      </c>
      <c r="AJ510" s="98" t="str">
        <f t="shared" si="286"/>
        <v>1+52.9464483884517i</v>
      </c>
      <c r="AK510" s="98">
        <f t="shared" si="301"/>
        <v>52.955891050486343</v>
      </c>
      <c r="AL510" s="98">
        <f t="shared" si="302"/>
        <v>1.5519115639917531</v>
      </c>
      <c r="AM510" s="98" t="str">
        <f t="shared" si="287"/>
        <v>1+7839.18885845488i</v>
      </c>
      <c r="AN510" s="98">
        <f t="shared" si="303"/>
        <v>7839.1889222369891</v>
      </c>
      <c r="AO510" s="98">
        <f t="shared" si="304"/>
        <v>1.5706687625771398</v>
      </c>
      <c r="AP510" s="168" t="str">
        <f t="shared" si="305"/>
        <v>-0.00355166994950487+0.18932749432691i</v>
      </c>
      <c r="AQ510" s="98">
        <f t="shared" si="306"/>
        <v>-14.454198176864089</v>
      </c>
      <c r="AR510" s="169">
        <f t="shared" si="307"/>
        <v>91.074708314431419</v>
      </c>
      <c r="AS510" s="168" t="str">
        <f t="shared" si="308"/>
        <v>-0.00106797232734177-0.00472025153273269i</v>
      </c>
      <c r="AT510" s="190">
        <f t="shared" si="309"/>
        <v>-46.303882720339487</v>
      </c>
      <c r="AU510" s="169">
        <f t="shared" si="310"/>
        <v>-102.74871193598042</v>
      </c>
      <c r="AV510" s="225"/>
      <c r="AX510">
        <f t="shared" si="311"/>
        <v>0</v>
      </c>
      <c r="AY510">
        <f t="shared" si="312"/>
        <v>0</v>
      </c>
    </row>
    <row r="511" spans="14:51" x14ac:dyDescent="0.25">
      <c r="N511" s="170">
        <v>93</v>
      </c>
      <c r="O511" s="199">
        <f t="shared" si="313"/>
        <v>851138.03820237669</v>
      </c>
      <c r="P511" s="189" t="str">
        <f t="shared" si="279"/>
        <v>87</v>
      </c>
      <c r="Q511" s="160" t="str">
        <f t="shared" si="280"/>
        <v>1+40108.9351201113i</v>
      </c>
      <c r="R511" s="160">
        <f t="shared" si="288"/>
        <v>40108.935132577346</v>
      </c>
      <c r="S511" s="160">
        <f t="shared" si="289"/>
        <v>1.5707713946944357</v>
      </c>
      <c r="T511" s="160" t="str">
        <f t="shared" si="281"/>
        <v>1+26.7392900800742i</v>
      </c>
      <c r="U511" s="160">
        <f t="shared" si="290"/>
        <v>26.757982621758959</v>
      </c>
      <c r="V511" s="160">
        <f t="shared" si="291"/>
        <v>1.5334155967672993</v>
      </c>
      <c r="W511" s="98" t="str">
        <f t="shared" si="282"/>
        <v>1-3.78806609467718i</v>
      </c>
      <c r="X511" s="160">
        <f t="shared" si="292"/>
        <v>3.9178367420864824</v>
      </c>
      <c r="Y511" s="160">
        <f t="shared" si="293"/>
        <v>-1.3126974138145464</v>
      </c>
      <c r="Z511" s="98" t="str">
        <f t="shared" si="283"/>
        <v>-4.15154460497774+7.95761272783007i</v>
      </c>
      <c r="AA511" s="160">
        <f t="shared" si="294"/>
        <v>8.9754622684986476</v>
      </c>
      <c r="AB511" s="160">
        <f t="shared" si="295"/>
        <v>2.0516585823867177</v>
      </c>
      <c r="AC511" s="171" t="str">
        <f t="shared" si="296"/>
        <v>-0.0244827189442626+0.00651605404302942i</v>
      </c>
      <c r="AD511" s="190">
        <f t="shared" si="297"/>
        <v>-31.925580053409362</v>
      </c>
      <c r="AE511" s="169">
        <f t="shared" si="298"/>
        <v>165.09627107656752</v>
      </c>
      <c r="AF511" s="98" t="str">
        <f t="shared" si="284"/>
        <v>-0.0000673063927557778</v>
      </c>
      <c r="AG511" s="98" t="str">
        <f t="shared" si="285"/>
        <v>0.0538422345052373i</v>
      </c>
      <c r="AH511" s="98">
        <f t="shared" si="299"/>
        <v>5.3842234505237299E-2</v>
      </c>
      <c r="AI511" s="98">
        <f t="shared" si="300"/>
        <v>1.5707963267948966</v>
      </c>
      <c r="AJ511" s="98" t="str">
        <f t="shared" si="286"/>
        <v>1+54.1797296020573i</v>
      </c>
      <c r="AK511" s="98">
        <f t="shared" si="301"/>
        <v>54.18895735989063</v>
      </c>
      <c r="AL511" s="98">
        <f t="shared" si="302"/>
        <v>1.5523413349398605</v>
      </c>
      <c r="AM511" s="98" t="str">
        <f t="shared" si="287"/>
        <v>1+8021.78702402224i</v>
      </c>
      <c r="AN511" s="98">
        <f t="shared" si="303"/>
        <v>8021.7870863524904</v>
      </c>
      <c r="AO511" s="98">
        <f t="shared" si="304"/>
        <v>1.5706716662932123</v>
      </c>
      <c r="AP511" s="168" t="str">
        <f t="shared" si="305"/>
        <v>-0.00339187290688353+0.185020823794525i</v>
      </c>
      <c r="AQ511" s="98">
        <f t="shared" si="306"/>
        <v>-14.654128478356693</v>
      </c>
      <c r="AR511" s="169">
        <f t="shared" si="307"/>
        <v>91.05025062362337</v>
      </c>
      <c r="AS511" s="168" t="str">
        <f t="shared" si="308"/>
        <v>-0.00112256341585706-0.00455191445496563i</v>
      </c>
      <c r="AT511" s="190">
        <f t="shared" si="309"/>
        <v>-46.579708531766059</v>
      </c>
      <c r="AU511" s="169">
        <f t="shared" si="310"/>
        <v>-103.85347829980908</v>
      </c>
      <c r="AV511" s="225"/>
      <c r="AX511">
        <f t="shared" si="311"/>
        <v>0</v>
      </c>
      <c r="AY511">
        <f t="shared" si="312"/>
        <v>0</v>
      </c>
    </row>
    <row r="512" spans="14:51" x14ac:dyDescent="0.25">
      <c r="N512" s="170">
        <v>94</v>
      </c>
      <c r="O512" s="199">
        <f t="shared" si="313"/>
        <v>870963.58995608077</v>
      </c>
      <c r="P512" s="189" t="str">
        <f t="shared" si="279"/>
        <v>87</v>
      </c>
      <c r="Q512" s="160" t="str">
        <f t="shared" si="280"/>
        <v>1+41043.1922362533i</v>
      </c>
      <c r="R512" s="160">
        <f t="shared" si="288"/>
        <v>41043.192248435589</v>
      </c>
      <c r="S512" s="160">
        <f t="shared" si="289"/>
        <v>1.5707719622183294</v>
      </c>
      <c r="T512" s="160" t="str">
        <f t="shared" si="281"/>
        <v>1+27.3621281575022i</v>
      </c>
      <c r="U512" s="160">
        <f t="shared" si="290"/>
        <v>27.380395492168752</v>
      </c>
      <c r="V512" s="160">
        <f t="shared" si="291"/>
        <v>1.5342657204667889</v>
      </c>
      <c r="W512" s="98" t="str">
        <f t="shared" si="282"/>
        <v>1-3.87630148897948i</v>
      </c>
      <c r="X512" s="160">
        <f t="shared" si="292"/>
        <v>4.0032128638712852</v>
      </c>
      <c r="Y512" s="160">
        <f t="shared" si="293"/>
        <v>-1.3183232891371639</v>
      </c>
      <c r="Z512" s="98" t="str">
        <f t="shared" si="283"/>
        <v>-4.39432942242977+8.14296933967264i</v>
      </c>
      <c r="AA512" s="160">
        <f t="shared" si="294"/>
        <v>9.2530038765624969</v>
      </c>
      <c r="AB512" s="160">
        <f t="shared" si="295"/>
        <v>2.0656562880308211</v>
      </c>
      <c r="AC512" s="171" t="str">
        <f t="shared" si="296"/>
        <v>-0.024139604749841+0.00691252911836756i</v>
      </c>
      <c r="AD512" s="190">
        <f t="shared" si="297"/>
        <v>-32.003124457142675</v>
      </c>
      <c r="AE512" s="169">
        <f t="shared" si="298"/>
        <v>164.02059869156204</v>
      </c>
      <c r="AF512" s="98" t="str">
        <f t="shared" si="284"/>
        <v>-0.0000673063927557778</v>
      </c>
      <c r="AG512" s="98" t="str">
        <f t="shared" si="285"/>
        <v>0.0550963812579464i</v>
      </c>
      <c r="AH512" s="98">
        <f t="shared" si="299"/>
        <v>5.50963812579464E-2</v>
      </c>
      <c r="AI512" s="98">
        <f t="shared" si="300"/>
        <v>1.5707963267948966</v>
      </c>
      <c r="AJ512" s="98" t="str">
        <f t="shared" si="286"/>
        <v>1+55.4417376254513i</v>
      </c>
      <c r="AK512" s="98">
        <f t="shared" si="301"/>
        <v>55.450755368429228</v>
      </c>
      <c r="AL512" s="98">
        <f t="shared" si="302"/>
        <v>1.5527613296952303</v>
      </c>
      <c r="AM512" s="98" t="str">
        <f t="shared" si="287"/>
        <v>1+8208.63844725064i</v>
      </c>
      <c r="AN512" s="98">
        <f t="shared" si="303"/>
        <v>8208.6385081620811</v>
      </c>
      <c r="AO512" s="98">
        <f t="shared" si="304"/>
        <v>1.5706745039126393</v>
      </c>
      <c r="AP512" s="168" t="str">
        <f t="shared" si="305"/>
        <v>-0.00323926312759408+0.180811988279288i</v>
      </c>
      <c r="AQ512" s="98">
        <f t="shared" si="306"/>
        <v>-14.854061915754638</v>
      </c>
      <c r="AR512" s="169">
        <f t="shared" si="307"/>
        <v>91.026349280340085</v>
      </c>
      <c r="AS512" s="168" t="str">
        <f t="shared" si="308"/>
        <v>-0.00117167360234966-0.00438712143178644i</v>
      </c>
      <c r="AT512" s="190">
        <f t="shared" si="309"/>
        <v>-46.857186372897324</v>
      </c>
      <c r="AU512" s="169">
        <f t="shared" si="310"/>
        <v>-104.9530520280979</v>
      </c>
      <c r="AV512" s="225"/>
      <c r="AX512">
        <f t="shared" si="311"/>
        <v>0</v>
      </c>
      <c r="AY512">
        <f t="shared" si="312"/>
        <v>0</v>
      </c>
    </row>
    <row r="513" spans="14:51" x14ac:dyDescent="0.25">
      <c r="N513" s="170">
        <v>95</v>
      </c>
      <c r="O513" s="199">
        <f t="shared" si="313"/>
        <v>891250.93813374708</v>
      </c>
      <c r="P513" s="189" t="str">
        <f t="shared" si="279"/>
        <v>87</v>
      </c>
      <c r="Q513" s="160" t="str">
        <f t="shared" si="280"/>
        <v>1+41999.21099619i</v>
      </c>
      <c r="R513" s="160">
        <f t="shared" si="288"/>
        <v>41999.211008094979</v>
      </c>
      <c r="S513" s="160">
        <f t="shared" si="289"/>
        <v>1.570772516823802</v>
      </c>
      <c r="T513" s="160" t="str">
        <f t="shared" si="281"/>
        <v>1+27.9994739974599i</v>
      </c>
      <c r="U513" s="160">
        <f t="shared" si="290"/>
        <v>28.017325784850222</v>
      </c>
      <c r="V513" s="160">
        <f t="shared" si="291"/>
        <v>1.5350965440360707</v>
      </c>
      <c r="W513" s="98" t="str">
        <f t="shared" si="282"/>
        <v>1-3.96659214964016i</v>
      </c>
      <c r="X513" s="160">
        <f t="shared" si="292"/>
        <v>4.0907032746933556</v>
      </c>
      <c r="Y513" s="160">
        <f t="shared" si="293"/>
        <v>-1.3238369286642402</v>
      </c>
      <c r="Z513" s="98" t="str">
        <f t="shared" si="283"/>
        <v>-4.64855633581715+8.33264346164407i</v>
      </c>
      <c r="AA513" s="160">
        <f t="shared" si="294"/>
        <v>9.5415943670932393</v>
      </c>
      <c r="AB513" s="160">
        <f t="shared" si="295"/>
        <v>2.0796639231640617</v>
      </c>
      <c r="AC513" s="171" t="str">
        <f t="shared" si="296"/>
        <v>-0.0237881877357224+0.00729562841514401i</v>
      </c>
      <c r="AD513" s="190">
        <f t="shared" si="297"/>
        <v>-32.082363411140136</v>
      </c>
      <c r="AE513" s="169">
        <f t="shared" si="298"/>
        <v>162.94968295029713</v>
      </c>
      <c r="AF513" s="98" t="str">
        <f t="shared" si="284"/>
        <v>-0.0000673063927557778</v>
      </c>
      <c r="AG513" s="98" t="str">
        <f t="shared" si="285"/>
        <v>0.0563797408412853i</v>
      </c>
      <c r="AH513" s="98">
        <f t="shared" si="299"/>
        <v>5.6379740841285303E-2</v>
      </c>
      <c r="AI513" s="98">
        <f t="shared" si="300"/>
        <v>1.5707963267948966</v>
      </c>
      <c r="AJ513" s="98" t="str">
        <f t="shared" si="286"/>
        <v>1+56.7331415919926i</v>
      </c>
      <c r="AK513" s="98">
        <f t="shared" si="301"/>
        <v>56.741954098330808</v>
      </c>
      <c r="AL513" s="98">
        <f t="shared" si="302"/>
        <v>1.5531717703516199</v>
      </c>
      <c r="AM513" s="98" t="str">
        <f t="shared" si="287"/>
        <v>1+8399.84219923797i</v>
      </c>
      <c r="AN513" s="98">
        <f t="shared" si="303"/>
        <v>8399.8422587628957</v>
      </c>
      <c r="AO513" s="98">
        <f t="shared" si="304"/>
        <v>1.570677276939964</v>
      </c>
      <c r="AP513" s="168" t="str">
        <f t="shared" si="305"/>
        <v>-0.00309351755261946+0.17669877390866i</v>
      </c>
      <c r="AQ513" s="98">
        <f t="shared" si="306"/>
        <v>-15.053998348010628</v>
      </c>
      <c r="AR513" s="169">
        <f t="shared" si="307"/>
        <v>91.002991645750569</v>
      </c>
      <c r="AS513" s="168" t="str">
        <f t="shared" si="308"/>
        <v>-0.00121553941954366-0.00422591276097081i</v>
      </c>
      <c r="AT513" s="190">
        <f t="shared" si="309"/>
        <v>-47.136361759150766</v>
      </c>
      <c r="AU513" s="169">
        <f t="shared" si="310"/>
        <v>-106.04732540395226</v>
      </c>
      <c r="AV513" s="225"/>
      <c r="AX513">
        <f t="shared" si="311"/>
        <v>0</v>
      </c>
      <c r="AY513">
        <f t="shared" si="312"/>
        <v>0</v>
      </c>
    </row>
    <row r="514" spans="14:51" x14ac:dyDescent="0.25">
      <c r="N514" s="170">
        <v>96</v>
      </c>
      <c r="O514" s="199">
        <f t="shared" si="313"/>
        <v>912010.83935591124</v>
      </c>
      <c r="P514" s="189" t="str">
        <f t="shared" si="279"/>
        <v>87</v>
      </c>
      <c r="Q514" s="160" t="str">
        <f t="shared" si="280"/>
        <v>1+42977.498293722i</v>
      </c>
      <c r="R514" s="160">
        <f t="shared" si="288"/>
        <v>42977.498305355992</v>
      </c>
      <c r="S514" s="160">
        <f t="shared" si="289"/>
        <v>1.5707730588049129</v>
      </c>
      <c r="T514" s="160" t="str">
        <f t="shared" si="281"/>
        <v>1+28.6516655291479i</v>
      </c>
      <c r="U514" s="160">
        <f t="shared" si="290"/>
        <v>28.66911121039789</v>
      </c>
      <c r="V514" s="160">
        <f t="shared" si="291"/>
        <v>1.535908503398252</v>
      </c>
      <c r="W514" s="98" t="str">
        <f t="shared" si="282"/>
        <v>1-4.05898594996263i</v>
      </c>
      <c r="X514" s="160">
        <f t="shared" si="292"/>
        <v>4.1803548823029404</v>
      </c>
      <c r="Y514" s="160">
        <f t="shared" si="293"/>
        <v>-1.329239914307174</v>
      </c>
      <c r="Z514" s="98" t="str">
        <f t="shared" si="283"/>
        <v>-4.91476459450792+8.52673566147442i</v>
      </c>
      <c r="AA514" s="160">
        <f t="shared" si="294"/>
        <v>9.8417545214300191</v>
      </c>
      <c r="AB514" s="160">
        <f t="shared" si="295"/>
        <v>2.0936780718208161</v>
      </c>
      <c r="AC514" s="171" t="str">
        <f t="shared" si="296"/>
        <v>-0.0234288928321513+0.00766514143148381i</v>
      </c>
      <c r="AD514" s="190">
        <f t="shared" si="297"/>
        <v>-32.163340530202944</v>
      </c>
      <c r="AE514" s="169">
        <f t="shared" si="298"/>
        <v>161.88365389604519</v>
      </c>
      <c r="AF514" s="98" t="str">
        <f t="shared" si="284"/>
        <v>-0.0000673063927557778</v>
      </c>
      <c r="AG514" s="98" t="str">
        <f t="shared" si="285"/>
        <v>0.0576929937094922i</v>
      </c>
      <c r="AH514" s="98">
        <f t="shared" si="299"/>
        <v>5.7692993709492199E-2</v>
      </c>
      <c r="AI514" s="98">
        <f t="shared" si="300"/>
        <v>1.5707963267948966</v>
      </c>
      <c r="AJ514" s="98" t="str">
        <f t="shared" si="286"/>
        <v>1+58.0546262211578i</v>
      </c>
      <c r="AK514" s="98">
        <f t="shared" si="301"/>
        <v>58.063238160460372</v>
      </c>
      <c r="AL514" s="98">
        <f t="shared" si="302"/>
        <v>1.5535728739766326</v>
      </c>
      <c r="AM514" s="98" t="str">
        <f t="shared" si="287"/>
        <v>1+8595.49965874437i</v>
      </c>
      <c r="AN514" s="98">
        <f t="shared" si="303"/>
        <v>8595.4997169143444</v>
      </c>
      <c r="AO514" s="98">
        <f t="shared" si="304"/>
        <v>1.5706799868454824</v>
      </c>
      <c r="AP514" s="168" t="str">
        <f t="shared" si="305"/>
        <v>-0.00295432762596561+0.172679016329015i</v>
      </c>
      <c r="AQ514" s="98">
        <f t="shared" si="306"/>
        <v>-15.25393764041775</v>
      </c>
      <c r="AR514" s="169">
        <f t="shared" si="307"/>
        <v>90.980165367039035</v>
      </c>
      <c r="AS514" s="168" t="str">
        <f t="shared" si="308"/>
        <v>-0.00125439245707159-0.00406832350702176i</v>
      </c>
      <c r="AT514" s="190">
        <f t="shared" si="309"/>
        <v>-47.417278170620705</v>
      </c>
      <c r="AU514" s="169">
        <f t="shared" si="310"/>
        <v>-107.13618073691576</v>
      </c>
      <c r="AV514" s="225"/>
      <c r="AX514">
        <f t="shared" si="311"/>
        <v>0</v>
      </c>
      <c r="AY514">
        <f t="shared" si="312"/>
        <v>0</v>
      </c>
    </row>
    <row r="515" spans="14:51" x14ac:dyDescent="0.25">
      <c r="N515" s="170">
        <v>97</v>
      </c>
      <c r="O515" s="199">
        <f t="shared" si="313"/>
        <v>933254.30079699249</v>
      </c>
      <c r="P515" s="189" t="str">
        <f t="shared" si="279"/>
        <v>87</v>
      </c>
      <c r="Q515" s="160" t="str">
        <f t="shared" si="280"/>
        <v>1+43978.5728297238i</v>
      </c>
      <c r="R515" s="160">
        <f t="shared" si="288"/>
        <v>43978.572841092981</v>
      </c>
      <c r="S515" s="160">
        <f t="shared" si="289"/>
        <v>1.5707735884490277</v>
      </c>
      <c r="T515" s="160" t="str">
        <f t="shared" si="281"/>
        <v>1+29.3190485531491i</v>
      </c>
      <c r="U515" s="160">
        <f t="shared" si="290"/>
        <v>29.336097355679648</v>
      </c>
      <c r="V515" s="160">
        <f t="shared" si="291"/>
        <v>1.5367020247800327</v>
      </c>
      <c r="W515" s="98" t="str">
        <f t="shared" si="282"/>
        <v>1-4.1535318783628i</v>
      </c>
      <c r="X515" s="160">
        <f t="shared" si="292"/>
        <v>4.2722157090409203</v>
      </c>
      <c r="Y515" s="160">
        <f t="shared" si="293"/>
        <v>-1.3345338484572511</v>
      </c>
      <c r="Z515" s="98" t="str">
        <f t="shared" si="283"/>
        <v>-5.19351886190996+8.72534884941717i</v>
      </c>
      <c r="AA515" s="160">
        <f t="shared" si="294"/>
        <v>10.154031254287139</v>
      </c>
      <c r="AB515" s="160">
        <f t="shared" si="295"/>
        <v>2.1076951231237544</v>
      </c>
      <c r="AC515" s="171" t="str">
        <f t="shared" si="296"/>
        <v>-0.0230621609573814+0.00802087264007256i</v>
      </c>
      <c r="AD515" s="190">
        <f t="shared" si="297"/>
        <v>-32.246097285292343</v>
      </c>
      <c r="AE515" s="169">
        <f t="shared" si="298"/>
        <v>160.82265101110599</v>
      </c>
      <c r="AF515" s="98" t="str">
        <f t="shared" si="284"/>
        <v>-0.0000673063927557778</v>
      </c>
      <c r="AG515" s="98" t="str">
        <f t="shared" si="285"/>
        <v>0.059036836166621i</v>
      </c>
      <c r="AH515" s="98">
        <f t="shared" si="299"/>
        <v>5.9036836166620997E-2</v>
      </c>
      <c r="AI515" s="98">
        <f t="shared" si="300"/>
        <v>1.5707963267948966</v>
      </c>
      <c r="AJ515" s="98" t="str">
        <f t="shared" si="286"/>
        <v>1+59.4068921815893i</v>
      </c>
      <c r="AK515" s="98">
        <f t="shared" si="301"/>
        <v>59.415308117310779</v>
      </c>
      <c r="AL515" s="98">
        <f t="shared" si="302"/>
        <v>1.5539648527241738</v>
      </c>
      <c r="AM515" s="98" t="str">
        <f t="shared" si="287"/>
        <v>1+8795.71456594473i</v>
      </c>
      <c r="AN515" s="98">
        <f t="shared" si="303"/>
        <v>8795.714622790596</v>
      </c>
      <c r="AO515" s="98">
        <f t="shared" si="304"/>
        <v>1.5706826350660219</v>
      </c>
      <c r="AP515" s="168" t="str">
        <f t="shared" si="305"/>
        <v>-0.00282139864517246+0.16875059963675i</v>
      </c>
      <c r="AQ515" s="98">
        <f t="shared" si="306"/>
        <v>-15.453879664324415</v>
      </c>
      <c r="AR515" s="169">
        <f t="shared" si="307"/>
        <v>90.957858371006211</v>
      </c>
      <c r="AS515" s="168" t="str">
        <f t="shared" si="308"/>
        <v>-0.00128845951794234-0.00391438356967716i</v>
      </c>
      <c r="AT515" s="190">
        <f t="shared" si="309"/>
        <v>-47.699976949616754</v>
      </c>
      <c r="AU515" s="169">
        <f t="shared" si="310"/>
        <v>-108.21949061788777</v>
      </c>
      <c r="AV515" s="225"/>
      <c r="AX515">
        <f t="shared" si="311"/>
        <v>0</v>
      </c>
      <c r="AY515">
        <f t="shared" si="312"/>
        <v>0</v>
      </c>
    </row>
    <row r="516" spans="14:51" x14ac:dyDescent="0.25">
      <c r="N516" s="170">
        <v>98</v>
      </c>
      <c r="O516" s="199">
        <f t="shared" si="313"/>
        <v>954992.58602143743</v>
      </c>
      <c r="P516" s="189" t="str">
        <f t="shared" si="279"/>
        <v>87</v>
      </c>
      <c r="Q516" s="160" t="str">
        <f t="shared" si="280"/>
        <v>1+45002.9653871651i</v>
      </c>
      <c r="R516" s="160">
        <f t="shared" si="288"/>
        <v>45002.96539827549</v>
      </c>
      <c r="S516" s="160">
        <f t="shared" si="289"/>
        <v>1.5707741060369702</v>
      </c>
      <c r="T516" s="160" t="str">
        <f t="shared" si="281"/>
        <v>1+30.0019769247766i</v>
      </c>
      <c r="U516" s="160">
        <f t="shared" si="290"/>
        <v>30.018637867078972</v>
      </c>
      <c r="V516" s="160">
        <f t="shared" si="291"/>
        <v>1.5374775249173769</v>
      </c>
      <c r="W516" s="98" t="str">
        <f t="shared" si="282"/>
        <v>1-4.25028006434337i</v>
      </c>
      <c r="X516" s="160">
        <f t="shared" si="292"/>
        <v>4.366334919054502</v>
      </c>
      <c r="Y516" s="160">
        <f t="shared" si="293"/>
        <v>-1.3397203505816651</v>
      </c>
      <c r="Z516" s="98" t="str">
        <f t="shared" si="283"/>
        <v>-5.48541041319762+8.92858833281353i</v>
      </c>
      <c r="AA516" s="160">
        <f t="shared" si="294"/>
        <v>10.478998855714737</v>
      </c>
      <c r="AB516" s="160">
        <f t="shared" si="295"/>
        <v>2.1217112804407892</v>
      </c>
      <c r="AC516" s="171" t="str">
        <f t="shared" si="296"/>
        <v>-0.0226884482735059+0.00836264296121132i</v>
      </c>
      <c r="AD516" s="190">
        <f t="shared" si="297"/>
        <v>-32.330672906503573</v>
      </c>
      <c r="AE516" s="169">
        <f t="shared" si="298"/>
        <v>159.76682289896084</v>
      </c>
      <c r="AF516" s="98" t="str">
        <f t="shared" si="284"/>
        <v>-0.0000673063927557778</v>
      </c>
      <c r="AG516" s="98" t="str">
        <f t="shared" si="285"/>
        <v>0.0604119807357303i</v>
      </c>
      <c r="AH516" s="98">
        <f t="shared" si="299"/>
        <v>6.04119807357303E-2</v>
      </c>
      <c r="AI516" s="98">
        <f t="shared" si="300"/>
        <v>1.5707963267948966</v>
      </c>
      <c r="AJ516" s="98" t="str">
        <f t="shared" si="286"/>
        <v>1+60.7906564625987i</v>
      </c>
      <c r="AK516" s="98">
        <f t="shared" si="301"/>
        <v>60.798880854450715</v>
      </c>
      <c r="AL516" s="98">
        <f t="shared" si="302"/>
        <v>1.554347913944476</v>
      </c>
      <c r="AM516" s="98" t="str">
        <f t="shared" si="287"/>
        <v>1+9000.59307743299i</v>
      </c>
      <c r="AN516" s="98">
        <f t="shared" si="303"/>
        <v>9000.5931329848845</v>
      </c>
      <c r="AO516" s="98">
        <f t="shared" si="304"/>
        <v>1.5706852230057038</v>
      </c>
      <c r="AP516" s="168" t="str">
        <f t="shared" si="305"/>
        <v>-0.00269444914077113+0.164911455329838i</v>
      </c>
      <c r="AQ516" s="98">
        <f t="shared" si="306"/>
        <v>-15.653824296862533</v>
      </c>
      <c r="AR516" s="169">
        <f t="shared" si="307"/>
        <v>90.936058857809186</v>
      </c>
      <c r="AS516" s="168" t="str">
        <f t="shared" si="308"/>
        <v>-0.00131796275118121-0.00376411774010102i</v>
      </c>
      <c r="AT516" s="190">
        <f t="shared" si="309"/>
        <v>-47.984497203366097</v>
      </c>
      <c r="AU516" s="169">
        <f t="shared" si="310"/>
        <v>-109.29711824323</v>
      </c>
      <c r="AV516" s="225"/>
      <c r="AX516">
        <f t="shared" si="311"/>
        <v>0</v>
      </c>
      <c r="AY516">
        <f t="shared" si="312"/>
        <v>0</v>
      </c>
    </row>
    <row r="517" spans="14:51" x14ac:dyDescent="0.25">
      <c r="N517" s="170">
        <v>99</v>
      </c>
      <c r="O517" s="199">
        <f t="shared" si="313"/>
        <v>977237.22095581202</v>
      </c>
      <c r="P517" s="189" t="str">
        <f t="shared" si="279"/>
        <v>87</v>
      </c>
      <c r="Q517" s="160" t="str">
        <f t="shared" si="280"/>
        <v>1+46051.2191125394i</v>
      </c>
      <c r="R517" s="160">
        <f t="shared" si="288"/>
        <v>46051.219123396884</v>
      </c>
      <c r="S517" s="160">
        <f t="shared" si="289"/>
        <v>1.5707746118431729</v>
      </c>
      <c r="T517" s="160" t="str">
        <f t="shared" si="281"/>
        <v>1+30.7008127416929i</v>
      </c>
      <c r="U517" s="160">
        <f t="shared" si="290"/>
        <v>30.717094638010494</v>
      </c>
      <c r="V517" s="160">
        <f t="shared" si="291"/>
        <v>1.538235411257501</v>
      </c>
      <c r="W517" s="98" t="str">
        <f t="shared" si="282"/>
        <v>1-4.34928180507316i</v>
      </c>
      <c r="X517" s="160">
        <f t="shared" si="292"/>
        <v>4.4627628460338826</v>
      </c>
      <c r="Y517" s="160">
        <f t="shared" si="293"/>
        <v>-1.3448010540143764</v>
      </c>
      <c r="Z517" s="98" t="str">
        <f t="shared" si="283"/>
        <v>-5.79105838948582+9.13656187192779i</v>
      </c>
      <c r="AA517" s="160">
        <f t="shared" si="294"/>
        <v>10.817260286689914</v>
      </c>
      <c r="AB517" s="160">
        <f t="shared" si="295"/>
        <v>2.1357225715159522</v>
      </c>
      <c r="AC517" s="171" t="str">
        <f t="shared" si="296"/>
        <v>-0.0223082252927732+0.00869029118805308i</v>
      </c>
      <c r="AD517" s="190">
        <f t="shared" si="297"/>
        <v>-32.417104291847252</v>
      </c>
      <c r="AE517" s="169">
        <f t="shared" si="298"/>
        <v>158.71632689925178</v>
      </c>
      <c r="AF517" s="98" t="str">
        <f t="shared" si="284"/>
        <v>-0.0000673063927557778</v>
      </c>
      <c r="AG517" s="98" t="str">
        <f t="shared" si="285"/>
        <v>0.0618191565366727i</v>
      </c>
      <c r="AH517" s="98">
        <f t="shared" si="299"/>
        <v>6.1819156536672699E-2</v>
      </c>
      <c r="AI517" s="98">
        <f t="shared" si="300"/>
        <v>1.5707963267948966</v>
      </c>
      <c r="AJ517" s="98" t="str">
        <f t="shared" si="286"/>
        <v>1+62.206652754324i</v>
      </c>
      <c r="AK517" s="98">
        <f t="shared" si="301"/>
        <v>62.214689960627837</v>
      </c>
      <c r="AL517" s="98">
        <f t="shared" si="302"/>
        <v>1.5547222602917394</v>
      </c>
      <c r="AM517" s="98" t="str">
        <f t="shared" si="287"/>
        <v>1+9210.24382250785i</v>
      </c>
      <c r="AN517" s="98">
        <f t="shared" si="303"/>
        <v>9210.2438767952281</v>
      </c>
      <c r="AO517" s="98">
        <f t="shared" si="304"/>
        <v>1.570687752036688</v>
      </c>
      <c r="AP517" s="168" t="str">
        <f t="shared" si="305"/>
        <v>-0.00257321028340902+0.161159561279623i</v>
      </c>
      <c r="AQ517" s="98">
        <f t="shared" si="306"/>
        <v>-15.853771420687963</v>
      </c>
      <c r="AR517" s="169">
        <f t="shared" si="307"/>
        <v>90.91475529483651</v>
      </c>
      <c r="AS517" s="168" t="str">
        <f t="shared" si="308"/>
        <v>-0.00134311976053084-0.00361754574776123i</v>
      </c>
      <c r="AT517" s="190">
        <f t="shared" si="309"/>
        <v>-48.270875712535222</v>
      </c>
      <c r="AU517" s="169">
        <f t="shared" si="310"/>
        <v>-110.36891780591174</v>
      </c>
      <c r="AV517" s="225"/>
      <c r="AX517">
        <f t="shared" si="311"/>
        <v>0</v>
      </c>
      <c r="AY517">
        <f t="shared" si="312"/>
        <v>0</v>
      </c>
    </row>
    <row r="518" spans="14:51" x14ac:dyDescent="0.25">
      <c r="N518" s="170">
        <v>100</v>
      </c>
      <c r="O518" s="199">
        <f t="shared" si="313"/>
        <v>1000000</v>
      </c>
      <c r="P518" s="189" t="str">
        <f t="shared" si="279"/>
        <v>87</v>
      </c>
      <c r="Q518" s="160" t="str">
        <f t="shared" si="280"/>
        <v>1+47123.889803847i</v>
      </c>
      <c r="R518" s="160">
        <f t="shared" si="288"/>
        <v>47123.889814457325</v>
      </c>
      <c r="S518" s="160">
        <f t="shared" si="289"/>
        <v>1.5707751061358208</v>
      </c>
      <c r="T518" s="160" t="str">
        <f t="shared" si="281"/>
        <v>1+31.4159265358979i</v>
      </c>
      <c r="U518" s="160">
        <f t="shared" si="290"/>
        <v>31.431838000806344</v>
      </c>
      <c r="V518" s="160">
        <f t="shared" si="291"/>
        <v>1.5389760821571941</v>
      </c>
      <c r="W518" s="98" t="str">
        <f t="shared" si="282"/>
        <v>1-4.45058959258555i</v>
      </c>
      <c r="X518" s="160">
        <f t="shared" si="292"/>
        <v>4.5615510214871895</v>
      </c>
      <c r="Y518" s="160">
        <f t="shared" si="293"/>
        <v>-1.3497776029365205</v>
      </c>
      <c r="Z518" s="98" t="str">
        <f t="shared" si="283"/>
        <v>-6.11111111111115+9.34937973708323i</v>
      </c>
      <c r="AA518" s="160">
        <f t="shared" si="294"/>
        <v>11.169448530725617</v>
      </c>
      <c r="AB518" s="160">
        <f t="shared" si="295"/>
        <v>2.1497248595322711</v>
      </c>
      <c r="AC518" s="171" t="str">
        <f t="shared" si="296"/>
        <v>-0.0219219758382191+0.00900367534782563i</v>
      </c>
      <c r="AD518" s="190">
        <f t="shared" si="297"/>
        <v>-32.50542592248285</v>
      </c>
      <c r="AE518" s="169">
        <f t="shared" si="298"/>
        <v>157.67132863828883</v>
      </c>
      <c r="AF518" s="98" t="str">
        <f t="shared" si="284"/>
        <v>-0.0000673063927557778</v>
      </c>
      <c r="AG518" s="98" t="str">
        <f t="shared" si="285"/>
        <v>0.0632591096726841i</v>
      </c>
      <c r="AH518" s="98">
        <f t="shared" si="299"/>
        <v>6.3259109672684097E-2</v>
      </c>
      <c r="AI518" s="98">
        <f t="shared" si="300"/>
        <v>1.5707963267948966</v>
      </c>
      <c r="AJ518" s="98" t="str">
        <f t="shared" si="286"/>
        <v>1+63.655631836742i</v>
      </c>
      <c r="AK518" s="98">
        <f t="shared" si="301"/>
        <v>63.66348611672818</v>
      </c>
      <c r="AL518" s="98">
        <f t="shared" si="302"/>
        <v>1.5550880898294395</v>
      </c>
      <c r="AM518" s="98" t="str">
        <f t="shared" si="287"/>
        <v>1+9424.77796076938i</v>
      </c>
      <c r="AN518" s="98">
        <f t="shared" si="303"/>
        <v>9424.7780138210273</v>
      </c>
      <c r="AO518" s="98">
        <f t="shared" si="304"/>
        <v>1.5706902234999003</v>
      </c>
      <c r="AP518" s="168" t="str">
        <f t="shared" si="305"/>
        <v>-0.00245742531742093+0.157492940722648i</v>
      </c>
      <c r="AQ518" s="98">
        <f t="shared" si="306"/>
        <v>-16.0537209237322</v>
      </c>
      <c r="AR518" s="169">
        <f t="shared" si="307"/>
        <v>90.893936410716364</v>
      </c>
      <c r="AS518" s="168" t="str">
        <f t="shared" si="308"/>
        <v>-0.00136414368940834-0.00347468230096155i</v>
      </c>
      <c r="AT518" s="190">
        <f t="shared" si="309"/>
        <v>-48.559146846215043</v>
      </c>
      <c r="AU518" s="169">
        <f t="shared" si="310"/>
        <v>-111.43473495099479</v>
      </c>
      <c r="AV518" s="225"/>
      <c r="AX518">
        <f t="shared" si="311"/>
        <v>0</v>
      </c>
      <c r="AY518">
        <f t="shared" si="312"/>
        <v>0</v>
      </c>
    </row>
    <row r="519" spans="14:51" x14ac:dyDescent="0.25">
      <c r="N519" s="170">
        <v>1</v>
      </c>
      <c r="O519" s="199">
        <f>10^(6+(N519/100))</f>
        <v>1023292.9922807553</v>
      </c>
      <c r="P519" s="189" t="str">
        <f t="shared" si="279"/>
        <v>87</v>
      </c>
      <c r="Q519" s="160" t="str">
        <f t="shared" si="280"/>
        <v>1+48221.5462052872i</v>
      </c>
      <c r="R519" s="160">
        <f t="shared" si="288"/>
        <v>48221.546215656017</v>
      </c>
      <c r="S519" s="160">
        <f t="shared" si="289"/>
        <v>1.5707755891769946</v>
      </c>
      <c r="T519" s="160" t="str">
        <f t="shared" si="281"/>
        <v>1+32.1476974701914i</v>
      </c>
      <c r="U519" s="160">
        <f t="shared" si="290"/>
        <v>32.163246923078994</v>
      </c>
      <c r="V519" s="160">
        <f t="shared" si="291"/>
        <v>1.5396999270774963</v>
      </c>
      <c r="W519" s="98" t="str">
        <f t="shared" si="282"/>
        <v>1-4.55425714161046i</v>
      </c>
      <c r="X519" s="160">
        <f t="shared" si="292"/>
        <v>4.6627522035713929</v>
      </c>
      <c r="Y519" s="160">
        <f t="shared" si="293"/>
        <v>-1.3546516495407019</v>
      </c>
      <c r="Z519" s="98" t="str">
        <f t="shared" si="283"/>
        <v>-6.44624745280645+9.56715476712896i</v>
      </c>
      <c r="AA519" s="160">
        <f t="shared" si="294"/>
        <v>11.536228004031994</v>
      </c>
      <c r="AB519" s="160">
        <f t="shared" si="295"/>
        <v>2.1637138550558159</v>
      </c>
      <c r="AC519" s="171" t="str">
        <f t="shared" si="296"/>
        <v>-0.0215301958643471+0.00930267398315906i</v>
      </c>
      <c r="AD519" s="190">
        <f t="shared" si="297"/>
        <v>-32.595669785031127</v>
      </c>
      <c r="AE519" s="169">
        <f t="shared" si="298"/>
        <v>156.6320015183274</v>
      </c>
      <c r="AF519" s="98" t="str">
        <f t="shared" si="284"/>
        <v>-0.0000673063927557778</v>
      </c>
      <c r="AG519" s="98" t="str">
        <f t="shared" si="285"/>
        <v>0.0647326036259774i</v>
      </c>
      <c r="AH519" s="98">
        <f t="shared" si="299"/>
        <v>6.4732603625977395E-2</v>
      </c>
      <c r="AI519" s="98">
        <f t="shared" si="300"/>
        <v>1.5707963267948966</v>
      </c>
      <c r="AJ519" s="98" t="str">
        <f t="shared" si="286"/>
        <v>1+65.1383619777418i</v>
      </c>
      <c r="AK519" s="98">
        <f t="shared" si="301"/>
        <v>65.146037493797863</v>
      </c>
      <c r="AL519" s="98">
        <f t="shared" si="302"/>
        <v>1.5554455961333384</v>
      </c>
      <c r="AM519" s="98" t="str">
        <f t="shared" si="287"/>
        <v>1+9644.30924105742i</v>
      </c>
      <c r="AN519" s="98">
        <f t="shared" si="303"/>
        <v>9644.3092929014656</v>
      </c>
      <c r="AO519" s="98">
        <f t="shared" si="304"/>
        <v>1.5706926387057425</v>
      </c>
      <c r="AP519" s="168" t="str">
        <f t="shared" si="305"/>
        <v>-0.00234684901967648+0.153909661272266i</v>
      </c>
      <c r="AQ519" s="98">
        <f t="shared" si="306"/>
        <v>-16.253672698965666</v>
      </c>
      <c r="AR519" s="169">
        <f t="shared" si="307"/>
        <v>90.873591189455027</v>
      </c>
      <c r="AS519" s="168" t="str">
        <f t="shared" si="308"/>
        <v>-0.00138124328261665-0.00333553712392495i</v>
      </c>
      <c r="AT519" s="190">
        <f t="shared" si="309"/>
        <v>-48.849342483996793</v>
      </c>
      <c r="AU519" s="169">
        <f t="shared" si="310"/>
        <v>-112.49440729221762</v>
      </c>
      <c r="AV519" s="225"/>
      <c r="AX519">
        <f t="shared" si="311"/>
        <v>0</v>
      </c>
      <c r="AY519">
        <f t="shared" si="312"/>
        <v>0</v>
      </c>
    </row>
    <row r="520" spans="14:51" x14ac:dyDescent="0.25">
      <c r="N520" s="170">
        <v>2</v>
      </c>
      <c r="O520" s="199">
        <f t="shared" ref="O520:O560" si="314">10^(6+(N520/100))</f>
        <v>1047128.5480509007</v>
      </c>
      <c r="P520" s="189" t="str">
        <f t="shared" si="279"/>
        <v>87</v>
      </c>
      <c r="Q520" s="160" t="str">
        <f t="shared" si="280"/>
        <v>1+49344.7703088129i</v>
      </c>
      <c r="R520" s="160">
        <f t="shared" si="288"/>
        <v>49344.770318945688</v>
      </c>
      <c r="S520" s="160">
        <f t="shared" si="289"/>
        <v>1.5707760612228086</v>
      </c>
      <c r="T520" s="160" t="str">
        <f t="shared" si="281"/>
        <v>1+32.8965135392085i</v>
      </c>
      <c r="U520" s="160">
        <f t="shared" si="290"/>
        <v>32.911709208658976</v>
      </c>
      <c r="V520" s="160">
        <f t="shared" si="291"/>
        <v>1.5404073267747527</v>
      </c>
      <c r="W520" s="98" t="str">
        <f t="shared" si="282"/>
        <v>1-4.66033941805455i</v>
      </c>
      <c r="X520" s="160">
        <f t="shared" si="292"/>
        <v>4.7664204064972093</v>
      </c>
      <c r="Y520" s="160">
        <f t="shared" si="293"/>
        <v>-1.3594248513732041</v>
      </c>
      <c r="Z520" s="98" t="str">
        <f t="shared" si="283"/>
        <v>-6.79717828368492+9.79000242926847i</v>
      </c>
      <c r="AA520" s="160">
        <f t="shared" si="294"/>
        <v>11.918296026919304</v>
      </c>
      <c r="AB520" s="160">
        <f t="shared" si="295"/>
        <v>2.1776851288011536</v>
      </c>
      <c r="AC520" s="171" t="str">
        <f t="shared" si="296"/>
        <v>-0.0211333921454673+0.00958718733819467i</v>
      </c>
      <c r="AD520" s="190">
        <f t="shared" si="297"/>
        <v>-32.687865301566049</v>
      </c>
      <c r="AE520" s="169">
        <f t="shared" si="298"/>
        <v>155.59852614937986</v>
      </c>
      <c r="AF520" s="98" t="str">
        <f t="shared" si="284"/>
        <v>-0.0000673063927557778</v>
      </c>
      <c r="AG520" s="98" t="str">
        <f t="shared" si="285"/>
        <v>0.0662404196625504i</v>
      </c>
      <c r="AH520" s="98">
        <f t="shared" si="299"/>
        <v>6.6240419662550398E-2</v>
      </c>
      <c r="AI520" s="98">
        <f t="shared" si="300"/>
        <v>1.5707963267948966</v>
      </c>
      <c r="AJ520" s="98" t="str">
        <f t="shared" si="286"/>
        <v>1+66.6556293404702i</v>
      </c>
      <c r="AK520" s="98">
        <f t="shared" si="301"/>
        <v>66.663130160337886</v>
      </c>
      <c r="AL520" s="98">
        <f t="shared" si="302"/>
        <v>1.5557949683922565</v>
      </c>
      <c r="AM520" s="98" t="str">
        <f t="shared" si="287"/>
        <v>1+9868.95406176256i</v>
      </c>
      <c r="AN520" s="98">
        <f t="shared" si="303"/>
        <v>9868.9541124264888</v>
      </c>
      <c r="AO520" s="98">
        <f t="shared" si="304"/>
        <v>1.5706949989347891</v>
      </c>
      <c r="AP520" s="168" t="str">
        <f t="shared" si="305"/>
        <v>-0.00224124718258556+0.15040783394981i</v>
      </c>
      <c r="AQ520" s="98">
        <f t="shared" si="306"/>
        <v>-16.453626644171287</v>
      </c>
      <c r="AR520" s="169">
        <f t="shared" si="307"/>
        <v>90.853708864703137</v>
      </c>
      <c r="AS520" s="168" t="str">
        <f t="shared" si="308"/>
        <v>-0.0013946229256044-0.00320011499322231i</v>
      </c>
      <c r="AT520" s="190">
        <f t="shared" si="309"/>
        <v>-49.141491945737343</v>
      </c>
      <c r="AU520" s="169">
        <f t="shared" si="310"/>
        <v>-113.54776498591701</v>
      </c>
      <c r="AV520" s="225"/>
      <c r="AX520">
        <f t="shared" si="311"/>
        <v>0</v>
      </c>
      <c r="AY520">
        <f t="shared" si="312"/>
        <v>0</v>
      </c>
    </row>
    <row r="521" spans="14:51" x14ac:dyDescent="0.25">
      <c r="N521" s="170">
        <v>3</v>
      </c>
      <c r="O521" s="199">
        <f t="shared" si="314"/>
        <v>1071519.3052376076</v>
      </c>
      <c r="P521" s="189" t="str">
        <f t="shared" si="279"/>
        <v>87</v>
      </c>
      <c r="Q521" s="160" t="str">
        <f t="shared" si="280"/>
        <v>1+50494.1576627117i</v>
      </c>
      <c r="R521" s="160">
        <f t="shared" si="288"/>
        <v>50494.15767261383</v>
      </c>
      <c r="S521" s="160">
        <f t="shared" si="289"/>
        <v>1.5707765225235482</v>
      </c>
      <c r="T521" s="160" t="str">
        <f t="shared" si="281"/>
        <v>1+33.6627717751411i</v>
      </c>
      <c r="U521" s="160">
        <f t="shared" si="290"/>
        <v>33.677621703220623</v>
      </c>
      <c r="V521" s="160">
        <f t="shared" si="291"/>
        <v>1.5410986534880833</v>
      </c>
      <c r="W521" s="98" t="str">
        <f t="shared" si="282"/>
        <v>1-4.76889266814499i</v>
      </c>
      <c r="X521" s="160">
        <f t="shared" si="292"/>
        <v>4.872610930526573</v>
      </c>
      <c r="Y521" s="160">
        <f t="shared" si="293"/>
        <v>-1.3640988688479307</v>
      </c>
      <c r="Z521" s="98" t="str">
        <f t="shared" si="283"/>
        <v>-7.16464797508898+10.018040880282i</v>
      </c>
      <c r="AA521" s="160">
        <f t="shared" si="294"/>
        <v>12.316384359297494</v>
      </c>
      <c r="AB521" s="160">
        <f t="shared" si="295"/>
        <v>2.1916341251501548</v>
      </c>
      <c r="AC521" s="171" t="str">
        <f t="shared" si="296"/>
        <v>-0.0207320808411443+0.00985713843496767i</v>
      </c>
      <c r="AD521" s="190">
        <f t="shared" si="297"/>
        <v>-32.782039267842926</v>
      </c>
      <c r="AE521" s="169">
        <f t="shared" si="298"/>
        <v>154.57108972781947</v>
      </c>
      <c r="AF521" s="98" t="str">
        <f t="shared" si="284"/>
        <v>-0.0000673063927557778</v>
      </c>
      <c r="AG521" s="98" t="str">
        <f t="shared" si="285"/>
        <v>0.0677833572464241i</v>
      </c>
      <c r="AH521" s="98">
        <f t="shared" si="299"/>
        <v>6.7783357246424106E-2</v>
      </c>
      <c r="AI521" s="98">
        <f t="shared" si="300"/>
        <v>1.5707963267948966</v>
      </c>
      <c r="AJ521" s="98" t="str">
        <f t="shared" si="286"/>
        <v>1+68.2082384001666i</v>
      </c>
      <c r="AK521" s="98">
        <f t="shared" si="301"/>
        <v>68.215568499089429</v>
      </c>
      <c r="AL521" s="98">
        <f t="shared" si="302"/>
        <v>1.556136391506636</v>
      </c>
      <c r="AM521" s="98" t="str">
        <f t="shared" si="287"/>
        <v>1+10098.8315325423i</v>
      </c>
      <c r="AN521" s="98">
        <f t="shared" si="303"/>
        <v>10098.831582052977</v>
      </c>
      <c r="AO521" s="98">
        <f t="shared" si="304"/>
        <v>1.5706973054384645</v>
      </c>
      <c r="AP521" s="168" t="str">
        <f t="shared" si="305"/>
        <v>-0.00214039612019164+0.146985612235067i</v>
      </c>
      <c r="AQ521" s="98">
        <f t="shared" si="306"/>
        <v>-16.653582661728134</v>
      </c>
      <c r="AR521" s="169">
        <f t="shared" si="307"/>
        <v>90.834278914147006</v>
      </c>
      <c r="AS521" s="168" t="str">
        <f t="shared" si="308"/>
        <v>-0.00140448266235365-0.00306841577620489i</v>
      </c>
      <c r="AT521" s="190">
        <f t="shared" si="309"/>
        <v>-49.435621929571063</v>
      </c>
      <c r="AU521" s="169">
        <f t="shared" si="310"/>
        <v>-114.59463135803358</v>
      </c>
      <c r="AV521" s="225"/>
      <c r="AX521">
        <f t="shared" si="311"/>
        <v>0</v>
      </c>
      <c r="AY521">
        <f t="shared" si="312"/>
        <v>0</v>
      </c>
    </row>
    <row r="522" spans="14:51" x14ac:dyDescent="0.25">
      <c r="N522" s="170">
        <v>4</v>
      </c>
      <c r="O522" s="199">
        <f t="shared" si="314"/>
        <v>1096478.196143186</v>
      </c>
      <c r="P522" s="189" t="str">
        <f t="shared" si="279"/>
        <v>87</v>
      </c>
      <c r="Q522" s="160" t="str">
        <f t="shared" si="280"/>
        <v>1+51670.3176873724i</v>
      </c>
      <c r="R522" s="160">
        <f t="shared" si="288"/>
        <v>51670.317697049133</v>
      </c>
      <c r="S522" s="160">
        <f t="shared" si="289"/>
        <v>1.5707769733238008</v>
      </c>
      <c r="T522" s="160" t="str">
        <f t="shared" si="281"/>
        <v>1+34.4468784582482i</v>
      </c>
      <c r="U522" s="160">
        <f t="shared" si="290"/>
        <v>34.461390504698493</v>
      </c>
      <c r="V522" s="160">
        <f t="shared" si="291"/>
        <v>1.5417742711232891</v>
      </c>
      <c r="W522" s="98" t="str">
        <f t="shared" si="282"/>
        <v>1-4.87997444825184i</v>
      </c>
      <c r="X522" s="160">
        <f t="shared" si="292"/>
        <v>4.9813803925810411</v>
      </c>
      <c r="Y522" s="160">
        <f t="shared" si="293"/>
        <v>-1.3686753629257014</v>
      </c>
      <c r="Z522" s="98" t="str">
        <f t="shared" si="283"/>
        <v>-7.54943597950166+10.2513910291747i</v>
      </c>
      <c r="AA522" s="160">
        <f t="shared" si="294"/>
        <v>12.731260803299794</v>
      </c>
      <c r="AB522" s="160">
        <f t="shared" si="295"/>
        <v>2.2055561763481535</v>
      </c>
      <c r="AC522" s="171" t="str">
        <f t="shared" si="296"/>
        <v>-0.0203267859499235+0.0101124740266024i</v>
      </c>
      <c r="AD522" s="190">
        <f t="shared" si="297"/>
        <v>-32.87821580027753</v>
      </c>
      <c r="AE522" s="169">
        <f t="shared" si="298"/>
        <v>153.54988536649614</v>
      </c>
      <c r="AF522" s="98" t="str">
        <f t="shared" si="284"/>
        <v>-0.0000673063927557778</v>
      </c>
      <c r="AG522" s="98" t="str">
        <f t="shared" si="285"/>
        <v>0.0693622344635286i</v>
      </c>
      <c r="AH522" s="98">
        <f t="shared" si="299"/>
        <v>6.9362234463528599E-2</v>
      </c>
      <c r="AI522" s="98">
        <f t="shared" si="300"/>
        <v>1.5707963267948966</v>
      </c>
      <c r="AJ522" s="98" t="str">
        <f t="shared" si="286"/>
        <v>1+69.7970123707055i</v>
      </c>
      <c r="AK522" s="98">
        <f t="shared" si="301"/>
        <v>69.804175633527947</v>
      </c>
      <c r="AL522" s="98">
        <f t="shared" si="302"/>
        <v>1.5564700461849519</v>
      </c>
      <c r="AM522" s="98" t="str">
        <f t="shared" si="287"/>
        <v>1+10334.0635374745i</v>
      </c>
      <c r="AN522" s="98">
        <f t="shared" si="303"/>
        <v>10334.063585858177</v>
      </c>
      <c r="AO522" s="98">
        <f t="shared" si="304"/>
        <v>1.5706995594397075</v>
      </c>
      <c r="AP522" s="168" t="str">
        <f t="shared" si="305"/>
        <v>-0.00204408219632998+0.143641191135793i</v>
      </c>
      <c r="AQ522" s="98">
        <f t="shared" si="306"/>
        <v>-16.853540658405084</v>
      </c>
      <c r="AR522" s="169">
        <f t="shared" si="307"/>
        <v>90.81529105402295</v>
      </c>
      <c r="AS522" s="168" t="str">
        <f t="shared" si="308"/>
        <v>-0.00141101819324209-0.00294043447392794i</v>
      </c>
      <c r="AT522" s="190">
        <f t="shared" si="309"/>
        <v>-49.731756458682604</v>
      </c>
      <c r="AU522" s="169">
        <f t="shared" si="310"/>
        <v>-115.63482357948092</v>
      </c>
      <c r="AV522" s="225"/>
      <c r="AX522">
        <f t="shared" si="311"/>
        <v>0</v>
      </c>
      <c r="AY522">
        <f t="shared" si="312"/>
        <v>0</v>
      </c>
    </row>
    <row r="523" spans="14:51" x14ac:dyDescent="0.25">
      <c r="N523" s="170">
        <v>5</v>
      </c>
      <c r="O523" s="199">
        <f t="shared" si="314"/>
        <v>1122018.4543019643</v>
      </c>
      <c r="P523" s="189" t="str">
        <f t="shared" si="279"/>
        <v>87</v>
      </c>
      <c r="Q523" s="160" t="str">
        <f t="shared" si="280"/>
        <v>1+52873.8739984085i</v>
      </c>
      <c r="R523" s="160">
        <f t="shared" si="288"/>
        <v>52873.874007864957</v>
      </c>
      <c r="S523" s="160">
        <f t="shared" si="289"/>
        <v>1.570777413862587</v>
      </c>
      <c r="T523" s="160" t="str">
        <f t="shared" si="281"/>
        <v>1+35.2492493322722i</v>
      </c>
      <c r="U523" s="160">
        <f t="shared" si="290"/>
        <v>35.263431178611825</v>
      </c>
      <c r="V523" s="160">
        <f t="shared" si="291"/>
        <v>1.5424345354332367</v>
      </c>
      <c r="W523" s="98" t="str">
        <f t="shared" si="282"/>
        <v>1-4.99364365540525i</v>
      </c>
      <c r="X523" s="160">
        <f t="shared" si="292"/>
        <v>5.0927867574805346</v>
      </c>
      <c r="Y523" s="160">
        <f t="shared" si="293"/>
        <v>-1.373155992952438</v>
      </c>
      <c r="Z523" s="98" t="str">
        <f t="shared" si="283"/>
        <v>-7.95235848386968+10.4901766012842i</v>
      </c>
      <c r="AA523" s="160">
        <f t="shared" si="294"/>
        <v>13.16373087624115</v>
      </c>
      <c r="AB523" s="160">
        <f t="shared" si="295"/>
        <v>2.2194465172942754</v>
      </c>
      <c r="AC523" s="171" t="str">
        <f t="shared" si="296"/>
        <v>-0.0199180376641168+0.0103531654151432i</v>
      </c>
      <c r="AD523" s="190">
        <f t="shared" si="297"/>
        <v>-32.976416292131802</v>
      </c>
      <c r="AE523" s="169">
        <f t="shared" si="298"/>
        <v>152.53511138150409</v>
      </c>
      <c r="AF523" s="98" t="str">
        <f t="shared" si="284"/>
        <v>-0.0000673063927557778</v>
      </c>
      <c r="AG523" s="98" t="str">
        <f t="shared" si="285"/>
        <v>0.0709778884554634i</v>
      </c>
      <c r="AH523" s="98">
        <f t="shared" si="299"/>
        <v>7.0977888455463406E-2</v>
      </c>
      <c r="AI523" s="98">
        <f t="shared" si="300"/>
        <v>1.5707963267948966</v>
      </c>
      <c r="AJ523" s="98" t="str">
        <f t="shared" si="286"/>
        <v>1+71.4227936410761i</v>
      </c>
      <c r="AK523" s="98">
        <f t="shared" si="301"/>
        <v>71.429793864295448</v>
      </c>
      <c r="AL523" s="98">
        <f t="shared" si="302"/>
        <v>1.5567961090380065</v>
      </c>
      <c r="AM523" s="98" t="str">
        <f t="shared" si="287"/>
        <v>1+10574.7747996817i</v>
      </c>
      <c r="AN523" s="98">
        <f t="shared" si="303"/>
        <v>10574.77484696403</v>
      </c>
      <c r="AO523" s="98">
        <f t="shared" si="304"/>
        <v>1.570701762133619</v>
      </c>
      <c r="AP523" s="168" t="str">
        <f t="shared" si="305"/>
        <v>-0.00195210137387167+0.140372806276011i</v>
      </c>
      <c r="AQ523" s="98">
        <f t="shared" si="306"/>
        <v>-17.053500545163764</v>
      </c>
      <c r="AR523" s="169">
        <f t="shared" si="307"/>
        <v>90.796735233751633</v>
      </c>
      <c r="AS523" s="168" t="str">
        <f t="shared" si="308"/>
        <v>-0.00141442085447444-0.00281616127085418i</v>
      </c>
      <c r="AT523" s="190">
        <f t="shared" si="309"/>
        <v>-50.029916837295573</v>
      </c>
      <c r="AU523" s="169">
        <f t="shared" si="310"/>
        <v>-116.66815338474424</v>
      </c>
      <c r="AV523" s="225"/>
      <c r="AX523">
        <f t="shared" si="311"/>
        <v>0</v>
      </c>
      <c r="AY523">
        <f t="shared" si="312"/>
        <v>0</v>
      </c>
    </row>
    <row r="524" spans="14:51" x14ac:dyDescent="0.25">
      <c r="N524" s="170">
        <v>6</v>
      </c>
      <c r="O524" s="199">
        <f t="shared" si="314"/>
        <v>1148153.6214968837</v>
      </c>
      <c r="P524" s="189" t="str">
        <f t="shared" si="279"/>
        <v>87</v>
      </c>
      <c r="Q524" s="160" t="str">
        <f t="shared" si="280"/>
        <v>1+54105.464737307i</v>
      </c>
      <c r="R524" s="160">
        <f t="shared" si="288"/>
        <v>54105.464746548198</v>
      </c>
      <c r="S524" s="160">
        <f t="shared" si="289"/>
        <v>1.5707778443734861</v>
      </c>
      <c r="T524" s="160" t="str">
        <f t="shared" si="281"/>
        <v>1+36.0703098248712i</v>
      </c>
      <c r="U524" s="160">
        <f t="shared" si="290"/>
        <v>36.084168978406588</v>
      </c>
      <c r="V524" s="160">
        <f t="shared" si="291"/>
        <v>1.5430797941947525</v>
      </c>
      <c r="W524" s="98" t="str">
        <f t="shared" si="282"/>
        <v>1-5.10996055852344i</v>
      </c>
      <c r="X524" s="160">
        <f t="shared" si="292"/>
        <v>5.206889369831587</v>
      </c>
      <c r="Y524" s="160">
        <f t="shared" si="293"/>
        <v>-1.3775424146497013</v>
      </c>
      <c r="Z524" s="98" t="str">
        <f t="shared" si="283"/>
        <v>-8.37427014084561+10.7345242038817i</v>
      </c>
      <c r="AA524" s="160">
        <f t="shared" si="294"/>
        <v>13.614639557314044</v>
      </c>
      <c r="AB524" s="160">
        <f t="shared" si="295"/>
        <v>2.2333003008363987</v>
      </c>
      <c r="AC524" s="171" t="str">
        <f t="shared" si="296"/>
        <v>-0.0195063706398692+0.0105792091233409i</v>
      </c>
      <c r="AD524" s="190">
        <f t="shared" si="297"/>
        <v>-33.076659379296899</v>
      </c>
      <c r="AE524" s="169">
        <f t="shared" si="298"/>
        <v>151.52697054110607</v>
      </c>
      <c r="AF524" s="98" t="str">
        <f t="shared" si="284"/>
        <v>-0.0000673063927557778</v>
      </c>
      <c r="AG524" s="98" t="str">
        <f t="shared" si="285"/>
        <v>0.0726311758633608i</v>
      </c>
      <c r="AH524" s="98">
        <f t="shared" si="299"/>
        <v>7.2631175863360806E-2</v>
      </c>
      <c r="AI524" s="98">
        <f t="shared" si="300"/>
        <v>1.5707963267948966</v>
      </c>
      <c r="AJ524" s="98" t="str">
        <f t="shared" si="286"/>
        <v>1+73.0864442220275i</v>
      </c>
      <c r="AK524" s="98">
        <f t="shared" si="301"/>
        <v>73.093285115799347</v>
      </c>
      <c r="AL524" s="98">
        <f t="shared" si="302"/>
        <v>1.5571147526711531</v>
      </c>
      <c r="AM524" s="98" t="str">
        <f t="shared" si="287"/>
        <v>1+10821.0929474614i</v>
      </c>
      <c r="AN524" s="98">
        <f t="shared" si="303"/>
        <v>10821.092993667455</v>
      </c>
      <c r="AO524" s="98">
        <f t="shared" si="304"/>
        <v>1.5707039146880966</v>
      </c>
      <c r="AP524" s="168" t="str">
        <f t="shared" si="305"/>
        <v>-0.00186425878411833+0.137178733002834i</v>
      </c>
      <c r="AQ524" s="98">
        <f t="shared" si="306"/>
        <v>-17.25346223696981</v>
      </c>
      <c r="AR524" s="169">
        <f t="shared" si="307"/>
        <v>90.778601630690346</v>
      </c>
      <c r="AS524" s="168" t="str">
        <f t="shared" si="308"/>
        <v>-0.00141487758090028-0.00269558159339815i</v>
      </c>
      <c r="AT524" s="190">
        <f t="shared" si="309"/>
        <v>-50.330121616266709</v>
      </c>
      <c r="AU524" s="169">
        <f t="shared" si="310"/>
        <v>-117.69442782820354</v>
      </c>
      <c r="AV524" s="225"/>
      <c r="AX524">
        <f t="shared" si="311"/>
        <v>0</v>
      </c>
      <c r="AY524">
        <f t="shared" si="312"/>
        <v>0</v>
      </c>
    </row>
    <row r="525" spans="14:51" x14ac:dyDescent="0.25">
      <c r="N525" s="170">
        <v>7</v>
      </c>
      <c r="O525" s="199">
        <f t="shared" si="314"/>
        <v>1174897.5549395324</v>
      </c>
      <c r="P525" s="189" t="str">
        <f t="shared" si="279"/>
        <v>87</v>
      </c>
      <c r="Q525" s="160" t="str">
        <f t="shared" si="280"/>
        <v>1+55365.7429097798i</v>
      </c>
      <c r="R525" s="160">
        <f t="shared" si="288"/>
        <v>55365.742918810654</v>
      </c>
      <c r="S525" s="160">
        <f t="shared" si="289"/>
        <v>1.5707782650847608</v>
      </c>
      <c r="T525" s="160" t="str">
        <f t="shared" si="281"/>
        <v>1+36.9104952731864i</v>
      </c>
      <c r="U525" s="160">
        <f t="shared" si="290"/>
        <v>36.924039070934747</v>
      </c>
      <c r="V525" s="160">
        <f t="shared" si="291"/>
        <v>1.5437103873820688</v>
      </c>
      <c r="W525" s="98" t="str">
        <f t="shared" si="282"/>
        <v>1-5.22898683036809i</v>
      </c>
      <c r="X525" s="160">
        <f t="shared" si="292"/>
        <v>5.323748986584822</v>
      </c>
      <c r="Y525" s="160">
        <f t="shared" si="293"/>
        <v>-1.3818362782510256</v>
      </c>
      <c r="Z525" s="98" t="str">
        <f t="shared" si="283"/>
        <v>-8.81606588162061+10.9845633933003i</v>
      </c>
      <c r="AA525" s="160">
        <f t="shared" si="294"/>
        <v>14.084873111622553</v>
      </c>
      <c r="AB525" s="160">
        <f t="shared" si="295"/>
        <v>2.2471126134757133</v>
      </c>
      <c r="AC525" s="171" t="str">
        <f t="shared" si="296"/>
        <v>-0.0190923221979673+0.0107906274113931i</v>
      </c>
      <c r="AD525" s="190">
        <f t="shared" si="297"/>
        <v>-33.178960915995923</v>
      </c>
      <c r="AE525" s="169">
        <f t="shared" si="298"/>
        <v>150.52566928263977</v>
      </c>
      <c r="AF525" s="98" t="str">
        <f t="shared" si="284"/>
        <v>-0.0000673063927557778</v>
      </c>
      <c r="AG525" s="98" t="str">
        <f t="shared" si="285"/>
        <v>0.0743229732820882i</v>
      </c>
      <c r="AH525" s="98">
        <f t="shared" si="299"/>
        <v>7.4322973282088201E-2</v>
      </c>
      <c r="AI525" s="98">
        <f t="shared" si="300"/>
        <v>1.5707963267948966</v>
      </c>
      <c r="AJ525" s="98" t="str">
        <f t="shared" si="286"/>
        <v>1+74.7888462031191i</v>
      </c>
      <c r="AK525" s="98">
        <f t="shared" si="301"/>
        <v>74.795531393217615</v>
      </c>
      <c r="AL525" s="98">
        <f t="shared" si="302"/>
        <v>1.5574261457744905</v>
      </c>
      <c r="AM525" s="98" t="str">
        <f t="shared" si="287"/>
        <v>1+11073.1485819559i</v>
      </c>
      <c r="AN525" s="98">
        <f t="shared" si="303"/>
        <v>11073.148627110177</v>
      </c>
      <c r="AO525" s="98">
        <f t="shared" si="304"/>
        <v>1.5707060182444532</v>
      </c>
      <c r="AP525" s="168" t="str">
        <f t="shared" si="305"/>
        <v>-0.00178036831545189+0.13405728551152i</v>
      </c>
      <c r="AQ525" s="98">
        <f t="shared" si="306"/>
        <v>-17.453425652613149</v>
      </c>
      <c r="AR525" s="169">
        <f t="shared" si="307"/>
        <v>90.760880645000825</v>
      </c>
      <c r="AS525" s="168" t="str">
        <f t="shared" si="308"/>
        <v>-0.0014125708542279-0.00257867617911792i</v>
      </c>
      <c r="AT525" s="190">
        <f t="shared" si="309"/>
        <v>-50.632386568609093</v>
      </c>
      <c r="AU525" s="169">
        <f t="shared" si="310"/>
        <v>-118.71345007235945</v>
      </c>
      <c r="AV525" s="225"/>
      <c r="AX525">
        <f t="shared" si="311"/>
        <v>0</v>
      </c>
      <c r="AY525">
        <f t="shared" si="312"/>
        <v>0</v>
      </c>
    </row>
    <row r="526" spans="14:51" x14ac:dyDescent="0.25">
      <c r="N526" s="170">
        <v>8</v>
      </c>
      <c r="O526" s="199">
        <f t="shared" si="314"/>
        <v>1202264.4346174158</v>
      </c>
      <c r="P526" s="189" t="str">
        <f t="shared" si="279"/>
        <v>87</v>
      </c>
      <c r="Q526" s="160" t="str">
        <f t="shared" si="280"/>
        <v>1+56655.3767319955i</v>
      </c>
      <c r="R526" s="160">
        <f t="shared" si="288"/>
        <v>56655.376740820786</v>
      </c>
      <c r="S526" s="160">
        <f t="shared" si="289"/>
        <v>1.5707786762194778</v>
      </c>
      <c r="T526" s="160" t="str">
        <f t="shared" si="281"/>
        <v>1+37.7702511546636i</v>
      </c>
      <c r="U526" s="160">
        <f t="shared" si="290"/>
        <v>37.783486767189274</v>
      </c>
      <c r="V526" s="160">
        <f t="shared" si="291"/>
        <v>1.5443266473368604</v>
      </c>
      <c r="W526" s="98" t="str">
        <f t="shared" si="282"/>
        <v>1-5.35078558024402i</v>
      </c>
      <c r="X526" s="160">
        <f t="shared" si="292"/>
        <v>5.4434278102816185</v>
      </c>
      <c r="Y526" s="160">
        <f t="shared" si="293"/>
        <v>-1.3860392267775121</v>
      </c>
      <c r="Z526" s="98" t="str">
        <f t="shared" si="283"/>
        <v>-9.2786828141934+11.2404267436279i</v>
      </c>
      <c r="AA526" s="160">
        <f t="shared" si="294"/>
        <v>14.57536099536726</v>
      </c>
      <c r="AB526" s="160">
        <f t="shared" si="295"/>
        <v>2.2608784913813635</v>
      </c>
      <c r="AC526" s="171" t="str">
        <f t="shared" si="296"/>
        <v>-0.0186764304718834+0.0109874686314851i</v>
      </c>
      <c r="AD526" s="190">
        <f t="shared" si="297"/>
        <v>-33.283333960647653</v>
      </c>
      <c r="AE526" s="169">
        <f t="shared" si="298"/>
        <v>149.53141690348369</v>
      </c>
      <c r="AF526" s="98" t="str">
        <f t="shared" si="284"/>
        <v>-0.0000673063927557778</v>
      </c>
      <c r="AG526" s="98" t="str">
        <f t="shared" si="285"/>
        <v>0.0760541777250306i</v>
      </c>
      <c r="AH526" s="98">
        <f t="shared" si="299"/>
        <v>7.6054177725030606E-2</v>
      </c>
      <c r="AI526" s="98">
        <f t="shared" si="300"/>
        <v>1.5707963267948966</v>
      </c>
      <c r="AJ526" s="98" t="str">
        <f t="shared" si="286"/>
        <v>1+76.5309022204149i</v>
      </c>
      <c r="AK526" s="98">
        <f t="shared" si="301"/>
        <v>76.537435250148718</v>
      </c>
      <c r="AL526" s="98">
        <f t="shared" si="302"/>
        <v>1.5577304532110696</v>
      </c>
      <c r="AM526" s="98" t="str">
        <f t="shared" si="287"/>
        <v>1+11331.0753463991i</v>
      </c>
      <c r="AN526" s="98">
        <f t="shared" si="303"/>
        <v>11331.075390525539</v>
      </c>
      <c r="AO526" s="98">
        <f t="shared" si="304"/>
        <v>1.5707080739180219</v>
      </c>
      <c r="AP526" s="168" t="str">
        <f t="shared" si="305"/>
        <v>-0.00170025222038441+0.1310068159885i</v>
      </c>
      <c r="AQ526" s="98">
        <f t="shared" si="306"/>
        <v>-17.653390714536027</v>
      </c>
      <c r="AR526" s="169">
        <f t="shared" si="307"/>
        <v>90.743562894629946</v>
      </c>
      <c r="AS526" s="168" t="str">
        <f t="shared" si="308"/>
        <v>-0.00140767863880571-0.00246542115808913i</v>
      </c>
      <c r="AT526" s="190">
        <f t="shared" si="309"/>
        <v>-50.936724675183676</v>
      </c>
      <c r="AU526" s="169">
        <f t="shared" si="310"/>
        <v>-119.72502020188632</v>
      </c>
      <c r="AV526" s="225"/>
      <c r="AX526">
        <f t="shared" si="311"/>
        <v>0</v>
      </c>
      <c r="AY526">
        <f t="shared" si="312"/>
        <v>0</v>
      </c>
    </row>
    <row r="527" spans="14:51" x14ac:dyDescent="0.25">
      <c r="N527" s="170">
        <v>9</v>
      </c>
      <c r="O527" s="199">
        <f t="shared" si="314"/>
        <v>1230268.770812382</v>
      </c>
      <c r="P527" s="189" t="str">
        <f t="shared" si="279"/>
        <v>87</v>
      </c>
      <c r="Q527" s="160" t="str">
        <f t="shared" si="280"/>
        <v>1+57975.049984877i</v>
      </c>
      <c r="R527" s="160">
        <f t="shared" si="288"/>
        <v>57975.049993501401</v>
      </c>
      <c r="S527" s="160">
        <f t="shared" si="289"/>
        <v>1.5707790779956259</v>
      </c>
      <c r="T527" s="160" t="str">
        <f t="shared" si="281"/>
        <v>1+38.6500333232513i</v>
      </c>
      <c r="U527" s="160">
        <f t="shared" si="290"/>
        <v>38.662967758417565</v>
      </c>
      <c r="V527" s="160">
        <f t="shared" si="291"/>
        <v>1.5449288989349124</v>
      </c>
      <c r="W527" s="98" t="str">
        <f t="shared" si="282"/>
        <v>1-5.47542138746061i</v>
      </c>
      <c r="X527" s="160">
        <f t="shared" si="292"/>
        <v>5.5659895230103578</v>
      </c>
      <c r="Y527" s="160">
        <f t="shared" si="293"/>
        <v>-1.3901528944462147</v>
      </c>
      <c r="Z527" s="98" t="str">
        <f t="shared" si="283"/>
        <v>-9.763102211102+11.5022499169996i</v>
      </c>
      <c r="AA527" s="160">
        <f t="shared" si="294"/>
        <v>15.087077846208063</v>
      </c>
      <c r="AB527" s="160">
        <f t="shared" si="295"/>
        <v>2.274592936612454</v>
      </c>
      <c r="AC527" s="171" t="str">
        <f t="shared" si="296"/>
        <v>-0.0182592325203169+0.0111698074149491i</v>
      </c>
      <c r="AD527" s="190">
        <f t="shared" si="297"/>
        <v>-33.389788772053649</v>
      </c>
      <c r="AE527" s="169">
        <f t="shared" si="298"/>
        <v>148.54442473233854</v>
      </c>
      <c r="AF527" s="98" t="str">
        <f t="shared" si="284"/>
        <v>-0.0000673063927557778</v>
      </c>
      <c r="AG527" s="98" t="str">
        <f t="shared" si="285"/>
        <v>0.0778257070996987i</v>
      </c>
      <c r="AH527" s="98">
        <f t="shared" si="299"/>
        <v>7.7825707099698702E-2</v>
      </c>
      <c r="AI527" s="98">
        <f t="shared" si="300"/>
        <v>1.5707963267948966</v>
      </c>
      <c r="AJ527" s="98" t="str">
        <f t="shared" si="286"/>
        <v>1+78.313535935074i</v>
      </c>
      <c r="AK527" s="98">
        <f t="shared" si="301"/>
        <v>78.319920267158892</v>
      </c>
      <c r="AL527" s="98">
        <f t="shared" si="302"/>
        <v>1.5580278361031537</v>
      </c>
      <c r="AM527" s="98" t="str">
        <f t="shared" si="287"/>
        <v>1+11595.0099969754i</v>
      </c>
      <c r="AN527" s="98">
        <f t="shared" si="303"/>
        <v>11595.010040097395</v>
      </c>
      <c r="AO527" s="98">
        <f t="shared" si="304"/>
        <v>1.5707100827987481</v>
      </c>
      <c r="AP527" s="168" t="str">
        <f t="shared" si="305"/>
        <v>-0.00162374074018931+0.128025713772089i</v>
      </c>
      <c r="AQ527" s="98">
        <f t="shared" si="306"/>
        <v>-17.853357348668982</v>
      </c>
      <c r="AR527" s="169">
        <f t="shared" si="307"/>
        <v>90.726639210401302</v>
      </c>
      <c r="AS527" s="168" t="str">
        <f t="shared" si="308"/>
        <v>-0.0014003743072678-0.00235578814770383i</v>
      </c>
      <c r="AT527" s="190">
        <f t="shared" si="309"/>
        <v>-51.243146120722642</v>
      </c>
      <c r="AU527" s="169">
        <f t="shared" si="310"/>
        <v>-120.72893605726013</v>
      </c>
      <c r="AV527" s="225"/>
      <c r="AX527">
        <f t="shared" si="311"/>
        <v>0</v>
      </c>
      <c r="AY527">
        <f t="shared" si="312"/>
        <v>0</v>
      </c>
    </row>
    <row r="528" spans="14:51" x14ac:dyDescent="0.25">
      <c r="N528" s="170">
        <v>10</v>
      </c>
      <c r="O528" s="199">
        <f t="shared" si="314"/>
        <v>1258925.4117941677</v>
      </c>
      <c r="P528" s="189" t="str">
        <f t="shared" si="279"/>
        <v>87</v>
      </c>
      <c r="Q528" s="160" t="str">
        <f t="shared" si="280"/>
        <v>1+59325.462376651i</v>
      </c>
      <c r="R528" s="160">
        <f t="shared" si="288"/>
        <v>59325.462385079081</v>
      </c>
      <c r="S528" s="160">
        <f t="shared" si="289"/>
        <v>1.5707794706262324</v>
      </c>
      <c r="T528" s="160" t="str">
        <f t="shared" si="281"/>
        <v>1+39.5503082511006i</v>
      </c>
      <c r="U528" s="160">
        <f t="shared" si="290"/>
        <v>39.562948357738414</v>
      </c>
      <c r="V528" s="160">
        <f t="shared" si="291"/>
        <v>1.5455174597494665</v>
      </c>
      <c r="W528" s="98" t="str">
        <f t="shared" si="282"/>
        <v>1-5.6029603355726i</v>
      </c>
      <c r="X528" s="160">
        <f t="shared" si="292"/>
        <v>5.6914993210928024</v>
      </c>
      <c r="Y528" s="160">
        <f t="shared" si="293"/>
        <v>-1.3941789052049152</v>
      </c>
      <c r="Z528" s="98" t="str">
        <f t="shared" si="283"/>
        <v>-10.2703515908346+11.7701717355275i</v>
      </c>
      <c r="AA528" s="160">
        <f t="shared" si="294"/>
        <v>15.621045563059127</v>
      </c>
      <c r="AB528" s="160">
        <f t="shared" si="295"/>
        <v>2.2882509334424723</v>
      </c>
      <c r="AC528" s="171" t="str">
        <f t="shared" si="296"/>
        <v>-0.0178412624220194+0.0113377446889217i</v>
      </c>
      <c r="AD528" s="190">
        <f t="shared" si="297"/>
        <v>-33.498332815983218</v>
      </c>
      <c r="AE528" s="169">
        <f t="shared" si="298"/>
        <v>147.56490528721173</v>
      </c>
      <c r="AF528" s="98" t="str">
        <f t="shared" si="284"/>
        <v>-0.0000673063927557778</v>
      </c>
      <c r="AG528" s="98" t="str">
        <f t="shared" si="285"/>
        <v>0.0796385006944162i</v>
      </c>
      <c r="AH528" s="98">
        <f t="shared" si="299"/>
        <v>7.9638500694416206E-2</v>
      </c>
      <c r="AI528" s="98">
        <f t="shared" si="300"/>
        <v>1.5707963267948966</v>
      </c>
      <c r="AJ528" s="98" t="str">
        <f t="shared" si="286"/>
        <v>1+80.1376925230882i</v>
      </c>
      <c r="AK528" s="98">
        <f t="shared" si="301"/>
        <v>80.143931541477471</v>
      </c>
      <c r="AL528" s="98">
        <f t="shared" si="302"/>
        <v>1.5583184519165714</v>
      </c>
      <c r="AM528" s="98" t="str">
        <f t="shared" si="287"/>
        <v>1+11865.0924753302i</v>
      </c>
      <c r="AN528" s="98">
        <f t="shared" si="303"/>
        <v>11865.092517470623</v>
      </c>
      <c r="AO528" s="98">
        <f t="shared" si="304"/>
        <v>1.5707120459517669</v>
      </c>
      <c r="AP528" s="168" t="str">
        <f t="shared" si="305"/>
        <v>-0.00155067174633228+0.125112404530605i</v>
      </c>
      <c r="AQ528" s="98">
        <f t="shared" si="306"/>
        <v>-18.053325484274026</v>
      </c>
      <c r="AR528" s="169">
        <f t="shared" si="307"/>
        <v>90.710100631215198</v>
      </c>
      <c r="AS528" s="168" t="str">
        <f t="shared" si="308"/>
        <v>-0.00139082655842836-0.00224974436183661i</v>
      </c>
      <c r="AT528" s="190">
        <f t="shared" si="309"/>
        <v>-51.551658300257266</v>
      </c>
      <c r="AU528" s="169">
        <f t="shared" si="310"/>
        <v>-121.724994081573</v>
      </c>
      <c r="AV528" s="225"/>
      <c r="AX528">
        <f t="shared" si="311"/>
        <v>0</v>
      </c>
      <c r="AY528">
        <f t="shared" si="312"/>
        <v>0</v>
      </c>
    </row>
    <row r="529" spans="14:51" x14ac:dyDescent="0.25">
      <c r="N529" s="170">
        <v>11</v>
      </c>
      <c r="O529" s="199">
        <f t="shared" si="314"/>
        <v>1288249.5516931366</v>
      </c>
      <c r="P529" s="189" t="str">
        <f t="shared" si="279"/>
        <v>87</v>
      </c>
      <c r="Q529" s="160" t="str">
        <f t="shared" si="280"/>
        <v>1+60707.3299138427i</v>
      </c>
      <c r="R529" s="160">
        <f t="shared" si="288"/>
        <v>60707.329922078941</v>
      </c>
      <c r="S529" s="160">
        <f t="shared" si="289"/>
        <v>1.5707798543194751</v>
      </c>
      <c r="T529" s="160" t="str">
        <f t="shared" si="281"/>
        <v>1+40.471553275895i</v>
      </c>
      <c r="U529" s="160">
        <f t="shared" si="290"/>
        <v>40.483905747390615</v>
      </c>
      <c r="V529" s="160">
        <f t="shared" si="291"/>
        <v>1.5460926402112851</v>
      </c>
      <c r="W529" s="98" t="str">
        <f t="shared" si="282"/>
        <v>1-5.73347004741847i</v>
      </c>
      <c r="X529" s="160">
        <f t="shared" si="292"/>
        <v>5.8200239505215743</v>
      </c>
      <c r="Y529" s="160">
        <f t="shared" si="293"/>
        <v>-1.3981188713870112</v>
      </c>
      <c r="Z529" s="98" t="str">
        <f t="shared" si="283"/>
        <v>-10.8015068973338+12.0443342549064i</v>
      </c>
      <c r="AA529" s="160">
        <f t="shared" si="294"/>
        <v>16.17833547980327</v>
      </c>
      <c r="AB529" s="160">
        <f t="shared" si="295"/>
        <v>2.3018474646802209</v>
      </c>
      <c r="AC529" s="171" t="str">
        <f t="shared" si="296"/>
        <v>-0.0174230493709271+0.0114914075214976i</v>
      </c>
      <c r="AD529" s="190">
        <f t="shared" si="297"/>
        <v>-33.608970782143608</v>
      </c>
      <c r="AE529" s="169">
        <f t="shared" si="298"/>
        <v>146.59307142652969</v>
      </c>
      <c r="AF529" s="98" t="str">
        <f t="shared" si="284"/>
        <v>-0.0000673063927557778</v>
      </c>
      <c r="AG529" s="98" t="str">
        <f t="shared" si="285"/>
        <v>0.0814935196763422i</v>
      </c>
      <c r="AH529" s="98">
        <f t="shared" si="299"/>
        <v>8.1493519676342205E-2</v>
      </c>
      <c r="AI529" s="98">
        <f t="shared" si="300"/>
        <v>1.5707963267948966</v>
      </c>
      <c r="AJ529" s="98" t="str">
        <f t="shared" si="286"/>
        <v>1+82.0043391764261i</v>
      </c>
      <c r="AK529" s="98">
        <f t="shared" si="301"/>
        <v>82.010436188099447</v>
      </c>
      <c r="AL529" s="98">
        <f t="shared" si="302"/>
        <v>1.5586024545432036</v>
      </c>
      <c r="AM529" s="98" t="str">
        <f t="shared" si="287"/>
        <v>1+12141.4659827685i</v>
      </c>
      <c r="AN529" s="98">
        <f t="shared" si="303"/>
        <v>12141.46602394969</v>
      </c>
      <c r="AO529" s="98">
        <f t="shared" si="304"/>
        <v>1.570713964417968</v>
      </c>
      <c r="AP529" s="168" t="str">
        <f t="shared" si="305"/>
        <v>-0.00148089039795386+0.12226534945761i</v>
      </c>
      <c r="AQ529" s="98">
        <f t="shared" si="306"/>
        <v>-18.253295053794947</v>
      </c>
      <c r="AR529" s="169">
        <f t="shared" si="307"/>
        <v>90.693938399355034</v>
      </c>
      <c r="AS529" s="168" t="str">
        <f t="shared" si="308"/>
        <v>-0.00137919932985923-0.00214725273501115i</v>
      </c>
      <c r="AT529" s="190">
        <f t="shared" si="309"/>
        <v>-51.862265835938565</v>
      </c>
      <c r="AU529" s="169">
        <f t="shared" si="310"/>
        <v>-122.71299017411533</v>
      </c>
      <c r="AV529" s="225"/>
      <c r="AX529">
        <f t="shared" si="311"/>
        <v>0</v>
      </c>
      <c r="AY529">
        <f t="shared" si="312"/>
        <v>0</v>
      </c>
    </row>
    <row r="530" spans="14:51" x14ac:dyDescent="0.25">
      <c r="N530" s="170">
        <v>12</v>
      </c>
      <c r="O530" s="199">
        <f t="shared" si="314"/>
        <v>1318256.7385564097</v>
      </c>
      <c r="P530" s="189" t="str">
        <f t="shared" si="279"/>
        <v>87</v>
      </c>
      <c r="Q530" s="160" t="str">
        <f t="shared" si="280"/>
        <v>1+62121.3852809111i</v>
      </c>
      <c r="R530" s="160">
        <f t="shared" si="288"/>
        <v>62121.385288959857</v>
      </c>
      <c r="S530" s="160">
        <f t="shared" si="289"/>
        <v>1.5707802292787933</v>
      </c>
      <c r="T530" s="160" t="str">
        <f t="shared" si="281"/>
        <v>1+41.4142568539406i</v>
      </c>
      <c r="U530" s="160">
        <f t="shared" si="290"/>
        <v>41.42632823174371</v>
      </c>
      <c r="V530" s="160">
        <f t="shared" si="291"/>
        <v>1.546654743765483</v>
      </c>
      <c r="W530" s="98" t="str">
        <f t="shared" si="282"/>
        <v>1-5.86701972097493i</v>
      </c>
      <c r="X530" s="160">
        <f t="shared" si="292"/>
        <v>5.9516317431699983</v>
      </c>
      <c r="Y530" s="160">
        <f t="shared" si="293"/>
        <v>-1.4019743924803618</v>
      </c>
      <c r="Z530" s="98" t="str">
        <f t="shared" si="283"/>
        <v>-11.3576947822179+12.3248828397327i</v>
      </c>
      <c r="AA530" s="160">
        <f t="shared" si="294"/>
        <v>16.760070637654163</v>
      </c>
      <c r="AB530" s="160">
        <f t="shared" si="295"/>
        <v>2.3153775278818713</v>
      </c>
      <c r="AC530" s="171" t="str">
        <f t="shared" si="296"/>
        <v>-0.0170051157895875+0.0116309487965078i</v>
      </c>
      <c r="AD530" s="190">
        <f t="shared" si="297"/>
        <v>-33.7217046114339</v>
      </c>
      <c r="AE530" s="169">
        <f t="shared" si="298"/>
        <v>145.62913549977549</v>
      </c>
      <c r="AF530" s="98" t="str">
        <f t="shared" si="284"/>
        <v>-0.0000673063927557778</v>
      </c>
      <c r="AG530" s="98" t="str">
        <f t="shared" si="285"/>
        <v>0.0833917476010947i</v>
      </c>
      <c r="AH530" s="98">
        <f t="shared" si="299"/>
        <v>8.3391747601094704E-2</v>
      </c>
      <c r="AI530" s="98">
        <f t="shared" si="300"/>
        <v>1.5707963267948966</v>
      </c>
      <c r="AJ530" s="98" t="str">
        <f t="shared" si="286"/>
        <v>1+83.914465615851i</v>
      </c>
      <c r="AK530" s="98">
        <f t="shared" si="301"/>
        <v>83.92042385256309</v>
      </c>
      <c r="AL530" s="98">
        <f t="shared" si="302"/>
        <v>1.5588799943816412</v>
      </c>
      <c r="AM530" s="98" t="str">
        <f t="shared" si="287"/>
        <v>1+12424.2770561822i</v>
      </c>
      <c r="AN530" s="98">
        <f t="shared" si="303"/>
        <v>12424.277096425989</v>
      </c>
      <c r="AO530" s="98">
        <f t="shared" si="304"/>
        <v>1.5707158392145475</v>
      </c>
      <c r="AP530" s="168" t="str">
        <f t="shared" si="305"/>
        <v>-0.00141424881468889+0.119483044483996i</v>
      </c>
      <c r="AQ530" s="98">
        <f t="shared" si="306"/>
        <v>-18.453265992713781</v>
      </c>
      <c r="AR530" s="169">
        <f t="shared" si="307"/>
        <v>90.678143955897241</v>
      </c>
      <c r="AS530" s="168" t="str">
        <f t="shared" si="308"/>
        <v>-0.00136565170759515-0.00204827206189195i</v>
      </c>
      <c r="AT530" s="190">
        <f t="shared" si="309"/>
        <v>-52.174970604147688</v>
      </c>
      <c r="AU530" s="169">
        <f t="shared" si="310"/>
        <v>-123.69272054432732</v>
      </c>
      <c r="AV530" s="225"/>
      <c r="AX530">
        <f t="shared" si="311"/>
        <v>0</v>
      </c>
      <c r="AY530">
        <f t="shared" si="312"/>
        <v>0</v>
      </c>
    </row>
    <row r="531" spans="14:51" x14ac:dyDescent="0.25">
      <c r="N531" s="170">
        <v>13</v>
      </c>
      <c r="O531" s="199">
        <f t="shared" si="314"/>
        <v>1348962.8825916562</v>
      </c>
      <c r="P531" s="189" t="str">
        <f t="shared" ref="P531:P560" si="315">COMPLEX(Adc,0)</f>
        <v>87</v>
      </c>
      <c r="Q531" s="160" t="str">
        <f t="shared" ref="Q531:Q560" si="316">IMSUM(COMPLEX(1,0),IMDIV(COMPLEX(0,2*PI()*O531),COMPLEX(wp_lf,0)))</f>
        <v>1+63568.378228729i</v>
      </c>
      <c r="R531" s="160">
        <f t="shared" si="288"/>
        <v>63568.378236594537</v>
      </c>
      <c r="S531" s="160">
        <f t="shared" si="289"/>
        <v>1.5707805957029957</v>
      </c>
      <c r="T531" s="160" t="str">
        <f t="shared" ref="T531:T560" si="317">IMSUM(COMPLEX(1,0),IMDIV(COMPLEX(0,2*PI()*O531),COMPLEX(wz_esr,0)))</f>
        <v>1+42.3789188191526i</v>
      </c>
      <c r="U531" s="160">
        <f t="shared" si="290"/>
        <v>42.39071549620656</v>
      </c>
      <c r="V531" s="160">
        <f t="shared" si="291"/>
        <v>1.547204067025171</v>
      </c>
      <c r="W531" s="98" t="str">
        <f t="shared" ref="W531:W560" si="318">IMSUB(COMPLEX(1,0),IMDIV(COMPLEX(0,2*PI()*O531),COMPLEX(wz_rhp,0)))</f>
        <v>1-6.00368016604662i</v>
      </c>
      <c r="X531" s="160">
        <f t="shared" si="292"/>
        <v>6.0863926537959712</v>
      </c>
      <c r="Y531" s="160">
        <f t="shared" si="293"/>
        <v>-1.4057470540040906</v>
      </c>
      <c r="Z531" s="98" t="str">
        <f t="shared" ref="Z531:Z560" si="319">IF(Dc_Mode_Loop="CCM",IMSUM(COMPLEX(1,0),IMDIV(COMPLEX(0,2*PI()*O531),COMPLEX(Q*(wsl/2),0)),IMDIV(IMPOWER(COMPLEX(0,2*PI()*O531),2),IMPOWER(COMPLEX(wsl/2,0),2))),COMPLEX(1,0))</f>
        <v>-11.94009499456+12.6119662405798i</v>
      </c>
      <c r="AA531" s="160">
        <f t="shared" si="294"/>
        <v>17.367428161148137</v>
      </c>
      <c r="AB531" s="160">
        <f t="shared" si="295"/>
        <v>2.3288361513500262</v>
      </c>
      <c r="AC531" s="171" t="str">
        <f t="shared" si="296"/>
        <v>-0.0165879754785507+0.0117565467211455i</v>
      </c>
      <c r="AD531" s="190">
        <f t="shared" si="297"/>
        <v>-33.83653353329467</v>
      </c>
      <c r="AE531" s="169">
        <f t="shared" si="298"/>
        <v>144.67330850396181</v>
      </c>
      <c r="AF531" s="98" t="str">
        <f t="shared" ref="AF531:AF560" si="320">COMPLEX(Adc_ea,0)</f>
        <v>-0.0000673063927557778</v>
      </c>
      <c r="AG531" s="98" t="str">
        <f t="shared" ref="AG531:AG560" si="321">COMPLEX(0,2*PI()*O531*wp0_ea)</f>
        <v>0.0853341909342456i</v>
      </c>
      <c r="AH531" s="98">
        <f t="shared" si="299"/>
        <v>8.5334190934245602E-2</v>
      </c>
      <c r="AI531" s="98">
        <f t="shared" si="300"/>
        <v>1.5707963267948966</v>
      </c>
      <c r="AJ531" s="98" t="str">
        <f t="shared" ref="AJ531:AJ560" si="322">IMSUM(COMPLEX(1,0),IMDIV(COMPLEX(0,2*PI()*O531),COMPLEX(wp1_ea,0)))</f>
        <v>1+85.8690846156845i</v>
      </c>
      <c r="AK531" s="98">
        <f t="shared" si="301"/>
        <v>85.874907235673817</v>
      </c>
      <c r="AL531" s="98">
        <f t="shared" si="302"/>
        <v>1.5591512184160545</v>
      </c>
      <c r="AM531" s="98" t="str">
        <f t="shared" ref="AM531:AM560" si="323">IMSUM(COMPLEX(1,0),IMDIV(COMPLEX(0,2*PI()*O531),COMPLEX(wz_ea,0)))</f>
        <v>1+12713.6756457458i</v>
      </c>
      <c r="AN531" s="98">
        <f t="shared" si="303"/>
        <v>12713.675685073529</v>
      </c>
      <c r="AO531" s="98">
        <f t="shared" si="304"/>
        <v>1.5707176713355471</v>
      </c>
      <c r="AP531" s="168" t="str">
        <f t="shared" si="305"/>
        <v>-0.00135060576413956+0.116764019506604i</v>
      </c>
      <c r="AQ531" s="98">
        <f t="shared" si="306"/>
        <v>-18.653238239415252</v>
      </c>
      <c r="AR531" s="169">
        <f t="shared" si="307"/>
        <v>90.662708936223694</v>
      </c>
      <c r="AS531" s="168" t="str">
        <f t="shared" si="308"/>
        <v>-0.0013503378353814-0.00195275715212052i</v>
      </c>
      <c r="AT531" s="190">
        <f t="shared" si="309"/>
        <v>-52.489771772709915</v>
      </c>
      <c r="AU531" s="169">
        <f t="shared" si="310"/>
        <v>-124.66398255981451</v>
      </c>
      <c r="AV531" s="225"/>
      <c r="AX531">
        <f t="shared" si="311"/>
        <v>0</v>
      </c>
      <c r="AY531">
        <f t="shared" si="312"/>
        <v>0</v>
      </c>
    </row>
    <row r="532" spans="14:51" x14ac:dyDescent="0.25">
      <c r="N532" s="170">
        <v>14</v>
      </c>
      <c r="O532" s="199">
        <f t="shared" si="314"/>
        <v>1380384.2646028849</v>
      </c>
      <c r="P532" s="189" t="str">
        <f t="shared" si="315"/>
        <v>87</v>
      </c>
      <c r="Q532" s="160" t="str">
        <f t="shared" si="316"/>
        <v>1+65049.0759721107i</v>
      </c>
      <c r="R532" s="160">
        <f t="shared" ref="R532:R560" si="324">IMABS(Q532)</f>
        <v>65049.075979797199</v>
      </c>
      <c r="S532" s="160">
        <f t="shared" ref="S532:S560" si="325">IMARGUMENT(Q532)</f>
        <v>1.5707809537863646</v>
      </c>
      <c r="T532" s="160" t="str">
        <f t="shared" si="317"/>
        <v>1+43.3660506480737i</v>
      </c>
      <c r="U532" s="160">
        <f t="shared" ref="U532:U560" si="326">IMABS(T532)</f>
        <v>43.377578872169593</v>
      </c>
      <c r="V532" s="160">
        <f t="shared" ref="V532:V560" si="327">IMARGUMENT(T532)</f>
        <v>1.54774089992196</v>
      </c>
      <c r="W532" s="98" t="str">
        <f t="shared" si="318"/>
        <v>1-6.14352384181045i</v>
      </c>
      <c r="X532" s="160">
        <f t="shared" ref="X532:X560" si="328">IMABS(W532)</f>
        <v>6.2243782978618372</v>
      </c>
      <c r="Y532" s="160">
        <f t="shared" ref="Y532:Y560" si="329">IMARGUMENT(W532)</f>
        <v>-1.4094384264875062</v>
      </c>
      <c r="Z532" s="98" t="str">
        <f t="shared" si="319"/>
        <v>-12.5499428832943+12.9057366728667i</v>
      </c>
      <c r="AA532" s="160">
        <f t="shared" ref="AA532:AA560" si="330">IMABS(Z532)</f>
        <v>18.001641743000157</v>
      </c>
      <c r="AB532" s="160">
        <f t="shared" ref="AB532:AB560" si="331">IMARGUMENT(Z532)</f>
        <v>2.3422184098188228</v>
      </c>
      <c r="AC532" s="171" t="str">
        <f t="shared" ref="AC532:AC560" si="332">(IMDIV(IMPRODUCT(P532,T532,W532),IMPRODUCT(Q532,Z532)))</f>
        <v>-0.0161721318188128+0.0118684041717072i</v>
      </c>
      <c r="AD532" s="190">
        <f t="shared" ref="AD532:AD560" si="333">20*LOG(IMABS(AC532))</f>
        <v>-33.95345411287628</v>
      </c>
      <c r="AE532" s="169">
        <f t="shared" ref="AE532:AE560" si="334">(180/PI())*IMARGUMENT(AC532)</f>
        <v>143.72579925206009</v>
      </c>
      <c r="AF532" s="98" t="str">
        <f t="shared" si="320"/>
        <v>-0.0000673063927557778</v>
      </c>
      <c r="AG532" s="98" t="str">
        <f t="shared" si="321"/>
        <v>0.0873218795849612i</v>
      </c>
      <c r="AH532" s="98">
        <f t="shared" ref="AH532:AH560" si="335">IMABS(AG532)</f>
        <v>8.7321879584961196E-2</v>
      </c>
      <c r="AI532" s="98">
        <f t="shared" ref="AI532:AI560" si="336">IMARGUMENT(AG532)</f>
        <v>1.5707963267948966</v>
      </c>
      <c r="AJ532" s="98" t="str">
        <f t="shared" si="322"/>
        <v>1+87.8692325407929i</v>
      </c>
      <c r="AK532" s="98">
        <f t="shared" ref="AK532:AK560" si="337">IMABS(AJ532)</f>
        <v>87.874922630452076</v>
      </c>
      <c r="AL532" s="98">
        <f t="shared" ref="AL532:AL560" si="338">IMARGUMENT(AJ532)</f>
        <v>1.5594162702933099</v>
      </c>
      <c r="AM532" s="98" t="str">
        <f t="shared" si="323"/>
        <v>1+13009.8151944221i</v>
      </c>
      <c r="AN532" s="98">
        <f t="shared" ref="AN532:AN560" si="339">IMABS(AM532)</f>
        <v>13009.815232854622</v>
      </c>
      <c r="AO532" s="98">
        <f t="shared" ref="AO532:AO560" si="340">IMARGUMENT(AM532)</f>
        <v>1.5707194617523816</v>
      </c>
      <c r="AP532" s="168" t="str">
        <f t="shared" ref="AP532:AP560" si="341">IMPRODUCT(AF532,IMDIV(AM532,IMPRODUCT(AG532,AJ532)))</f>
        <v>-0.00128982636334873+0.114106837633139i</v>
      </c>
      <c r="AQ532" s="98">
        <f t="shared" ref="AQ532:AQ560" si="342">20*LOG(IMABS(AP532))</f>
        <v>-18.853211735055343</v>
      </c>
      <c r="AR532" s="169">
        <f t="shared" ref="AR532:AR560" si="343">(180/PI())*IMARGUMENT(AP532)</f>
        <v>90.647625165633144</v>
      </c>
      <c r="AS532" s="168" t="str">
        <f t="shared" ref="AS532:AS560" si="344">IMPRODUCT(AC532,AP532)</f>
        <v>-0.00133340682581401-0.00186065900022254i</v>
      </c>
      <c r="AT532" s="190">
        <f t="shared" ref="AT532:AT560" si="345">20*LOG(IMABS(AS532))</f>
        <v>-52.806665847931612</v>
      </c>
      <c r="AU532" s="169">
        <f t="shared" ref="AU532:AU560" si="346">(180/PI())*IMARGUMENT(AS532)</f>
        <v>-125.62657558230678</v>
      </c>
      <c r="AV532" s="225"/>
      <c r="AX532">
        <f t="shared" ref="AX532:AX559" si="347">SUM((AT533&lt;0)*(AT532&gt;0))*O532</f>
        <v>0</v>
      </c>
      <c r="AY532">
        <f t="shared" ref="AY532:AY559" si="348">IF(AX532&gt;0,AU532,0)</f>
        <v>0</v>
      </c>
    </row>
    <row r="533" spans="14:51" x14ac:dyDescent="0.25">
      <c r="N533" s="170">
        <v>15</v>
      </c>
      <c r="O533" s="199">
        <f t="shared" si="314"/>
        <v>1412537.5446227565</v>
      </c>
      <c r="P533" s="189" t="str">
        <f t="shared" si="315"/>
        <v>87</v>
      </c>
      <c r="Q533" s="160" t="str">
        <f t="shared" si="316"/>
        <v>1+66564.2635965994i</v>
      </c>
      <c r="R533" s="160">
        <f t="shared" si="324"/>
        <v>66564.263604110936</v>
      </c>
      <c r="S533" s="160">
        <f t="shared" si="325"/>
        <v>1.570781303718761</v>
      </c>
      <c r="T533" s="160" t="str">
        <f t="shared" si="317"/>
        <v>1+44.3761757310661i</v>
      </c>
      <c r="U533" s="160">
        <f t="shared" si="326"/>
        <v>44.387441608122217</v>
      </c>
      <c r="V533" s="160">
        <f t="shared" si="327"/>
        <v>1.5482655258533711</v>
      </c>
      <c r="W533" s="98" t="str">
        <f t="shared" si="318"/>
        <v>1-6.28662489523438i</v>
      </c>
      <c r="X533" s="160">
        <f t="shared" si="328"/>
        <v>6.3656619901924332</v>
      </c>
      <c r="Y533" s="160">
        <f t="shared" si="329"/>
        <v>-1.4130500645454755</v>
      </c>
      <c r="Z533" s="98" t="str">
        <f t="shared" si="319"/>
        <v>-13.1885320175566+13.2063498975653i</v>
      </c>
      <c r="AA533" s="160">
        <f t="shared" si="330"/>
        <v>18.664004243329956</v>
      </c>
      <c r="AB533" s="160">
        <f t="shared" si="331"/>
        <v>2.3555194397276562</v>
      </c>
      <c r="AC533" s="171" t="str">
        <f t="shared" si="332"/>
        <v>-0.0157580760435551+0.0119667478846297i</v>
      </c>
      <c r="AD533" s="190">
        <f t="shared" si="333"/>
        <v>-34.072460307669786</v>
      </c>
      <c r="AE533" s="169">
        <f t="shared" si="334"/>
        <v>142.78681355929976</v>
      </c>
      <c r="AF533" s="98" t="str">
        <f t="shared" si="320"/>
        <v>-0.0000673063927557778</v>
      </c>
      <c r="AG533" s="98" t="str">
        <f t="shared" si="321"/>
        <v>0.0893558674520748i</v>
      </c>
      <c r="AH533" s="98">
        <f t="shared" si="335"/>
        <v>8.93558674520748E-2</v>
      </c>
      <c r="AI533" s="98">
        <f t="shared" si="336"/>
        <v>1.5707963267948966</v>
      </c>
      <c r="AJ533" s="98" t="str">
        <f t="shared" si="322"/>
        <v>1+89.9159698960816i</v>
      </c>
      <c r="AK533" s="98">
        <f t="shared" si="337"/>
        <v>89.921530471589818</v>
      </c>
      <c r="AL533" s="98">
        <f t="shared" si="338"/>
        <v>1.5596752903983708</v>
      </c>
      <c r="AM533" s="98" t="str">
        <f t="shared" si="323"/>
        <v>1+13312.8527193198i</v>
      </c>
      <c r="AN533" s="98">
        <f t="shared" si="339"/>
        <v>13312.852756877492</v>
      </c>
      <c r="AO533" s="98">
        <f t="shared" si="340"/>
        <v>1.5707212114143541</v>
      </c>
      <c r="AP533" s="168" t="str">
        <f t="shared" si="341"/>
        <v>-0.00123178179364936+0.11151009444305i</v>
      </c>
      <c r="AQ533" s="98">
        <f t="shared" si="342"/>
        <v>-19.053186423437129</v>
      </c>
      <c r="AR533" s="169">
        <f t="shared" si="343"/>
        <v>90.632884655050688</v>
      </c>
      <c r="AS533" s="168" t="str">
        <f t="shared" si="344"/>
        <v>-0.00131500267561783-0.00177192497003107i</v>
      </c>
      <c r="AT533" s="190">
        <f t="shared" si="345"/>
        <v>-53.125646731106933</v>
      </c>
      <c r="AU533" s="169">
        <f t="shared" si="346"/>
        <v>-126.58030178564948</v>
      </c>
      <c r="AV533" s="225"/>
      <c r="AX533">
        <f t="shared" si="347"/>
        <v>0</v>
      </c>
      <c r="AY533">
        <f t="shared" si="348"/>
        <v>0</v>
      </c>
    </row>
    <row r="534" spans="14:51" x14ac:dyDescent="0.25">
      <c r="N534" s="170">
        <v>16</v>
      </c>
      <c r="O534" s="199">
        <f t="shared" si="314"/>
        <v>1445439.7707459298</v>
      </c>
      <c r="P534" s="189" t="str">
        <f t="shared" si="315"/>
        <v>87</v>
      </c>
      <c r="Q534" s="160" t="str">
        <f t="shared" si="316"/>
        <v>1+68114.7444747291i</v>
      </c>
      <c r="R534" s="160">
        <f t="shared" si="324"/>
        <v>68114.744482069655</v>
      </c>
      <c r="S534" s="160">
        <f t="shared" si="325"/>
        <v>1.5707816456857235</v>
      </c>
      <c r="T534" s="160" t="str">
        <f t="shared" si="317"/>
        <v>1+45.4098296498193i</v>
      </c>
      <c r="U534" s="160">
        <f t="shared" si="326"/>
        <v>45.420839147087634</v>
      </c>
      <c r="V534" s="160">
        <f t="shared" si="327"/>
        <v>1.5487782218272035</v>
      </c>
      <c r="W534" s="98" t="str">
        <f t="shared" si="318"/>
        <v>1-6.43305920039108i</v>
      </c>
      <c r="X534" s="160">
        <f t="shared" si="328"/>
        <v>6.5103187844940678</v>
      </c>
      <c r="Y534" s="160">
        <f t="shared" si="329"/>
        <v>-1.416583506044768</v>
      </c>
      <c r="Z534" s="98" t="str">
        <f t="shared" si="319"/>
        <v>-13.8572169305177+13.5139653037862i</v>
      </c>
      <c r="AA534" s="160">
        <f t="shared" si="330"/>
        <v>19.35587040903518</v>
      </c>
      <c r="AB534" s="160">
        <f t="shared" si="331"/>
        <v>2.3687344539914759</v>
      </c>
      <c r="AC534" s="171" t="str">
        <f t="shared" si="332"/>
        <v>-0.0153462855943426+0.0120518275018015i</v>
      </c>
      <c r="AD534" s="190">
        <f t="shared" si="333"/>
        <v>-34.193543533165148</v>
      </c>
      <c r="AE534" s="169">
        <f t="shared" si="334"/>
        <v>141.85655345292218</v>
      </c>
      <c r="AF534" s="98" t="str">
        <f t="shared" si="320"/>
        <v>-0.0000673063927557778</v>
      </c>
      <c r="AG534" s="98" t="str">
        <f t="shared" si="321"/>
        <v>0.0914372329828761i</v>
      </c>
      <c r="AH534" s="98">
        <f t="shared" si="335"/>
        <v>9.1437232982876093E-2</v>
      </c>
      <c r="AI534" s="98">
        <f t="shared" si="336"/>
        <v>1.5707963267948966</v>
      </c>
      <c r="AJ534" s="98" t="str">
        <f t="shared" si="322"/>
        <v>1+92.0103818887876i</v>
      </c>
      <c r="AK534" s="98">
        <f t="shared" si="337"/>
        <v>92.015815897706062</v>
      </c>
      <c r="AL534" s="98">
        <f t="shared" si="338"/>
        <v>1.5599284159280218</v>
      </c>
      <c r="AM534" s="98" t="str">
        <f t="shared" si="323"/>
        <v>1+13622.9488949458i</v>
      </c>
      <c r="AN534" s="98">
        <f t="shared" si="339"/>
        <v>13622.948931648572</v>
      </c>
      <c r="AO534" s="98">
        <f t="shared" si="340"/>
        <v>1.570722921249158</v>
      </c>
      <c r="AP534" s="168" t="str">
        <f t="shared" si="341"/>
        <v>-0.00117634902829322+0.108972417264119i</v>
      </c>
      <c r="AQ534" s="98">
        <f t="shared" si="342"/>
        <v>-19.253162250891627</v>
      </c>
      <c r="AR534" s="169">
        <f t="shared" si="343"/>
        <v>90.6184795968326</v>
      </c>
      <c r="AS534" s="168" t="str">
        <f t="shared" si="344"/>
        <v>-0.00129526418717468-0.00168649899281194i</v>
      </c>
      <c r="AT534" s="190">
        <f t="shared" si="345"/>
        <v>-53.446705784056789</v>
      </c>
      <c r="AU534" s="169">
        <f t="shared" si="346"/>
        <v>-127.52496695024516</v>
      </c>
      <c r="AV534" s="225"/>
      <c r="AX534">
        <f t="shared" si="347"/>
        <v>0</v>
      </c>
      <c r="AY534">
        <f t="shared" si="348"/>
        <v>0</v>
      </c>
    </row>
    <row r="535" spans="14:51" x14ac:dyDescent="0.25">
      <c r="N535" s="170">
        <v>17</v>
      </c>
      <c r="O535" s="199">
        <f t="shared" si="314"/>
        <v>1479108.3881682095</v>
      </c>
      <c r="P535" s="189" t="str">
        <f t="shared" si="315"/>
        <v>87</v>
      </c>
      <c r="Q535" s="160" t="str">
        <f t="shared" si="316"/>
        <v>1+69701.3406919845i</v>
      </c>
      <c r="R535" s="160">
        <f t="shared" si="324"/>
        <v>69701.340699157969</v>
      </c>
      <c r="S535" s="160">
        <f t="shared" si="325"/>
        <v>1.5707819798685678</v>
      </c>
      <c r="T535" s="160" t="str">
        <f t="shared" si="317"/>
        <v>1+46.4675604613229i</v>
      </c>
      <c r="U535" s="160">
        <f t="shared" si="326"/>
        <v>46.47831941052408</v>
      </c>
      <c r="V535" s="160">
        <f t="shared" si="327"/>
        <v>1.5492792586029038</v>
      </c>
      <c r="W535" s="98" t="str">
        <f t="shared" si="318"/>
        <v>1-6.58290439868742i</v>
      </c>
      <c r="X535" s="160">
        <f t="shared" si="328"/>
        <v>6.6584255137576012</v>
      </c>
      <c r="Y535" s="160">
        <f t="shared" si="329"/>
        <v>-1.4200402713560916</v>
      </c>
      <c r="Z535" s="98" t="str">
        <f t="shared" si="319"/>
        <v>-14.5574159925302+13.8287459932897i</v>
      </c>
      <c r="AA535" s="160">
        <f t="shared" si="330"/>
        <v>20.078659719376187</v>
      </c>
      <c r="AB535" s="160">
        <f t="shared" si="331"/>
        <v>2.3818587561813858</v>
      </c>
      <c r="AC535" s="171" t="str">
        <f t="shared" si="332"/>
        <v>-0.0149372225756583+0.0121239144807331i</v>
      </c>
      <c r="AD535" s="190">
        <f t="shared" si="333"/>
        <v>-34.316692737029939</v>
      </c>
      <c r="AE535" s="169">
        <f t="shared" si="334"/>
        <v>140.93521641064189</v>
      </c>
      <c r="AF535" s="98" t="str">
        <f t="shared" si="320"/>
        <v>-0.0000673063927557778</v>
      </c>
      <c r="AG535" s="98" t="str">
        <f t="shared" si="321"/>
        <v>0.0935670797449197i</v>
      </c>
      <c r="AH535" s="98">
        <f t="shared" si="335"/>
        <v>9.3567079744919707E-2</v>
      </c>
      <c r="AI535" s="98">
        <f t="shared" si="336"/>
        <v>1.5707963267948966</v>
      </c>
      <c r="AJ535" s="98" t="str">
        <f t="shared" si="322"/>
        <v>1+94.1535790038723i</v>
      </c>
      <c r="AK535" s="98">
        <f t="shared" si="337"/>
        <v>94.15888932670363</v>
      </c>
      <c r="AL535" s="98">
        <f t="shared" si="338"/>
        <v>1.5601757809629475</v>
      </c>
      <c r="AM535" s="98" t="str">
        <f t="shared" si="323"/>
        <v>1+13940.2681383968i</v>
      </c>
      <c r="AN535" s="98">
        <f t="shared" si="339"/>
        <v>13940.268174264113</v>
      </c>
      <c r="AO535" s="98">
        <f t="shared" si="340"/>
        <v>1.5707245921633703</v>
      </c>
      <c r="AP535" s="168" t="str">
        <f t="shared" si="341"/>
        <v>-0.00112341057228835+0.106492464464462i</v>
      </c>
      <c r="AQ535" s="98">
        <f t="shared" si="342"/>
        <v>-19.453139166164412</v>
      </c>
      <c r="AR535" s="169">
        <f t="shared" si="343"/>
        <v>90.604402360664579</v>
      </c>
      <c r="AS535" s="168" t="str">
        <f t="shared" si="344"/>
        <v>-0.00127432489824753-0.00160432177804123i</v>
      </c>
      <c r="AT535" s="190">
        <f t="shared" si="345"/>
        <v>-53.76983190319433</v>
      </c>
      <c r="AU535" s="169">
        <f t="shared" si="346"/>
        <v>-128.46038122869354</v>
      </c>
      <c r="AV535" s="225"/>
      <c r="AX535">
        <f t="shared" si="347"/>
        <v>0</v>
      </c>
      <c r="AY535">
        <f t="shared" si="348"/>
        <v>0</v>
      </c>
    </row>
    <row r="536" spans="14:51" x14ac:dyDescent="0.25">
      <c r="N536" s="170">
        <v>18</v>
      </c>
      <c r="O536" s="199">
        <f t="shared" si="314"/>
        <v>1513561.2484362102</v>
      </c>
      <c r="P536" s="189" t="str">
        <f t="shared" si="315"/>
        <v>87</v>
      </c>
      <c r="Q536" s="160" t="str">
        <f t="shared" si="316"/>
        <v>1+71324.8934826811i</v>
      </c>
      <c r="R536" s="160">
        <f t="shared" si="324"/>
        <v>71324.893489691283</v>
      </c>
      <c r="S536" s="160">
        <f t="shared" si="325"/>
        <v>1.5707823064444817</v>
      </c>
      <c r="T536" s="160" t="str">
        <f t="shared" si="317"/>
        <v>1+47.5499289884539i</v>
      </c>
      <c r="U536" s="160">
        <f t="shared" si="326"/>
        <v>47.560443088842312</v>
      </c>
      <c r="V536" s="160">
        <f t="shared" si="327"/>
        <v>1.5497689008299926</v>
      </c>
      <c r="W536" s="98" t="str">
        <f t="shared" si="318"/>
        <v>1-6.73623994003099i</v>
      </c>
      <c r="X536" s="160">
        <f t="shared" si="328"/>
        <v>6.8100608315688875</v>
      </c>
      <c r="Y536" s="160">
        <f t="shared" si="329"/>
        <v>-1.4234218626867174</v>
      </c>
      <c r="Z536" s="98" t="str">
        <f t="shared" si="319"/>
        <v>-15.2906144196821+14.1508588669639i</v>
      </c>
      <c r="AA536" s="160">
        <f t="shared" si="330"/>
        <v>20.833859364124571</v>
      </c>
      <c r="AB536" s="160">
        <f t="shared" si="331"/>
        <v>2.394887754036362</v>
      </c>
      <c r="AC536" s="171" t="str">
        <f t="shared" si="332"/>
        <v>-0.0145313323201767+0.0121833008815913i</v>
      </c>
      <c r="AD536" s="190">
        <f t="shared" si="333"/>
        <v>-34.441894481236311</v>
      </c>
      <c r="AE536" s="169">
        <f t="shared" si="334"/>
        <v>140.02299463264549</v>
      </c>
      <c r="AF536" s="98" t="str">
        <f t="shared" si="320"/>
        <v>-0.0000673063927557778</v>
      </c>
      <c r="AG536" s="98" t="str">
        <f t="shared" si="321"/>
        <v>0.0957465370111509i</v>
      </c>
      <c r="AH536" s="98">
        <f t="shared" si="335"/>
        <v>9.5746537011150906E-2</v>
      </c>
      <c r="AI536" s="98">
        <f t="shared" si="336"/>
        <v>1.5707963267948966</v>
      </c>
      <c r="AJ536" s="98" t="str">
        <f t="shared" si="322"/>
        <v>1+96.3466975928149i</v>
      </c>
      <c r="AK536" s="98">
        <f t="shared" si="337"/>
        <v>96.351887044527203</v>
      </c>
      <c r="AL536" s="98">
        <f t="shared" si="338"/>
        <v>1.5604175165382048</v>
      </c>
      <c r="AM536" s="98" t="str">
        <f t="shared" si="323"/>
        <v>1+14264.9786965362i</v>
      </c>
      <c r="AN536" s="98">
        <f t="shared" si="339"/>
        <v>14264.978731587076</v>
      </c>
      <c r="AO536" s="98">
        <f t="shared" si="340"/>
        <v>1.5707262250429321</v>
      </c>
      <c r="AP536" s="168" t="str">
        <f t="shared" si="341"/>
        <v>-0.00107285421390046+0.104068924759679i</v>
      </c>
      <c r="AQ536" s="98">
        <f t="shared" si="342"/>
        <v>-19.653117120306401</v>
      </c>
      <c r="AR536" s="169">
        <f t="shared" si="343"/>
        <v>90.590645489551491</v>
      </c>
      <c r="AS536" s="168" t="str">
        <f t="shared" si="344"/>
        <v>-0.00125231302165757-0.00152533103557639i</v>
      </c>
      <c r="AT536" s="190">
        <f t="shared" si="345"/>
        <v>-54.095011601542716</v>
      </c>
      <c r="AU536" s="169">
        <f t="shared" si="346"/>
        <v>-129.38635987780316</v>
      </c>
      <c r="AV536" s="225"/>
      <c r="AX536">
        <f t="shared" si="347"/>
        <v>0</v>
      </c>
      <c r="AY536">
        <f t="shared" si="348"/>
        <v>0</v>
      </c>
    </row>
    <row r="537" spans="14:51" x14ac:dyDescent="0.25">
      <c r="N537" s="170">
        <v>19</v>
      </c>
      <c r="O537" s="199">
        <f t="shared" si="314"/>
        <v>1548816.6189124861</v>
      </c>
      <c r="P537" s="189" t="str">
        <f t="shared" si="315"/>
        <v>87</v>
      </c>
      <c r="Q537" s="160" t="str">
        <f t="shared" si="316"/>
        <v>1+72986.2636759989i</v>
      </c>
      <c r="R537" s="160">
        <f t="shared" si="324"/>
        <v>72986.263682849501</v>
      </c>
      <c r="S537" s="160">
        <f t="shared" si="325"/>
        <v>1.5707826255866202</v>
      </c>
      <c r="T537" s="160" t="str">
        <f t="shared" si="317"/>
        <v>1+48.6575091173325i</v>
      </c>
      <c r="U537" s="160">
        <f t="shared" si="326"/>
        <v>48.667783938692914</v>
      </c>
      <c r="V537" s="160">
        <f t="shared" si="327"/>
        <v>1.5502474071835894</v>
      </c>
      <c r="W537" s="98" t="str">
        <f t="shared" si="318"/>
        <v>1-6.89314712495545i</v>
      </c>
      <c r="X537" s="160">
        <f t="shared" si="328"/>
        <v>6.9653052543504224</v>
      </c>
      <c r="Y537" s="160">
        <f t="shared" si="329"/>
        <v>-1.4267297634888079</v>
      </c>
      <c r="Z537" s="98" t="str">
        <f t="shared" si="319"/>
        <v>-16.0583674241388+14.4804747133182i</v>
      </c>
      <c r="AA537" s="160">
        <f t="shared" si="330"/>
        <v>21.623027360933762</v>
      </c>
      <c r="AB537" s="160">
        <f t="shared" si="331"/>
        <v>2.4078169722344152</v>
      </c>
      <c r="AC537" s="171" t="str">
        <f t="shared" si="332"/>
        <v>-0.014129042075555+0.0122302980442912i</v>
      </c>
      <c r="AD537" s="190">
        <f t="shared" si="333"/>
        <v>-34.569133031509217</v>
      </c>
      <c r="AE537" s="169">
        <f t="shared" si="334"/>
        <v>139.12007435151963</v>
      </c>
      <c r="AF537" s="98" t="str">
        <f t="shared" si="320"/>
        <v>-0.0000673063927557778</v>
      </c>
      <c r="AG537" s="98" t="str">
        <f t="shared" si="321"/>
        <v>0.0979767603586607i</v>
      </c>
      <c r="AH537" s="98">
        <f t="shared" si="335"/>
        <v>9.7976760358660694E-2</v>
      </c>
      <c r="AI537" s="98">
        <f t="shared" si="336"/>
        <v>1.5707963267948966</v>
      </c>
      <c r="AJ537" s="98" t="str">
        <f t="shared" si="322"/>
        <v>1+98.5909004761207i</v>
      </c>
      <c r="AK537" s="98">
        <f t="shared" si="337"/>
        <v>98.595971807636943</v>
      </c>
      <c r="AL537" s="98">
        <f t="shared" si="338"/>
        <v>1.5606537507121221</v>
      </c>
      <c r="AM537" s="98" t="str">
        <f t="shared" si="323"/>
        <v>1+14597.2527351997i</v>
      </c>
      <c r="AN537" s="98">
        <f t="shared" si="339"/>
        <v>14597.252769452718</v>
      </c>
      <c r="AO537" s="98">
        <f t="shared" si="340"/>
        <v>1.5707278207536177</v>
      </c>
      <c r="AP537" s="168" t="str">
        <f t="shared" si="341"/>
        <v>-0.0010245727872971+0.101700516534843i</v>
      </c>
      <c r="AQ537" s="98">
        <f t="shared" si="342"/>
        <v>-19.853096066571034</v>
      </c>
      <c r="AR537" s="169">
        <f t="shared" si="343"/>
        <v>90.577201695896875</v>
      </c>
      <c r="AS537" s="168" t="str">
        <f t="shared" si="344"/>
        <v>-0.00122935139645831-0.00144946170778319i</v>
      </c>
      <c r="AT537" s="190">
        <f t="shared" si="345"/>
        <v>-54.42222909808023</v>
      </c>
      <c r="AU537" s="169">
        <f t="shared" si="346"/>
        <v>-130.30272395258353</v>
      </c>
      <c r="AV537" s="225"/>
      <c r="AX537">
        <f t="shared" si="347"/>
        <v>0</v>
      </c>
      <c r="AY537">
        <f t="shared" si="348"/>
        <v>0</v>
      </c>
    </row>
    <row r="538" spans="14:51" x14ac:dyDescent="0.25">
      <c r="N538" s="170">
        <v>20</v>
      </c>
      <c r="O538" s="199">
        <f t="shared" si="314"/>
        <v>1584893.1924611153</v>
      </c>
      <c r="P538" s="189" t="str">
        <f t="shared" si="315"/>
        <v>87</v>
      </c>
      <c r="Q538" s="160" t="str">
        <f t="shared" si="316"/>
        <v>1+74686.3321524049i</v>
      </c>
      <c r="R538" s="160">
        <f t="shared" si="324"/>
        <v>74686.332159099562</v>
      </c>
      <c r="S538" s="160">
        <f t="shared" si="325"/>
        <v>1.5707829374641968</v>
      </c>
      <c r="T538" s="160" t="str">
        <f t="shared" si="317"/>
        <v>1+49.7908881016031i</v>
      </c>
      <c r="U538" s="160">
        <f t="shared" si="326"/>
        <v>49.800929087180307</v>
      </c>
      <c r="V538" s="160">
        <f t="shared" si="327"/>
        <v>1.5507150304970918</v>
      </c>
      <c r="W538" s="98" t="str">
        <f t="shared" si="318"/>
        <v>1-7.05370914772713i</v>
      </c>
      <c r="X538" s="160">
        <f t="shared" si="328"/>
        <v>7.1242412045585173</v>
      </c>
      <c r="Y538" s="160">
        <f t="shared" si="329"/>
        <v>-1.4299654379387512</v>
      </c>
      <c r="Z538" s="98" t="str">
        <f t="shared" si="319"/>
        <v>-16.8623035129571+14.8177682990371i</v>
      </c>
      <c r="AA538" s="160">
        <f t="shared" si="330"/>
        <v>22.447795818900222</v>
      </c>
      <c r="AB538" s="160">
        <f t="shared" si="331"/>
        <v>2.4206420643600262</v>
      </c>
      <c r="AC538" s="171" t="str">
        <f t="shared" si="332"/>
        <v>-0.0137307598217855+0.0122652351698087i</v>
      </c>
      <c r="AD538" s="190">
        <f t="shared" si="333"/>
        <v>-34.698390453417176</v>
      </c>
      <c r="AE538" s="169">
        <f t="shared" si="334"/>
        <v>138.22663518399219</v>
      </c>
      <c r="AF538" s="98" t="str">
        <f t="shared" si="320"/>
        <v>-0.0000673063927557778</v>
      </c>
      <c r="AG538" s="98" t="str">
        <f t="shared" si="321"/>
        <v>0.100258932281388i</v>
      </c>
      <c r="AH538" s="98">
        <f t="shared" si="335"/>
        <v>0.10025893228138801</v>
      </c>
      <c r="AI538" s="98">
        <f t="shared" si="336"/>
        <v>1.5707963267948966</v>
      </c>
      <c r="AJ538" s="98" t="str">
        <f t="shared" si="322"/>
        <v>1+100.887377559863i</v>
      </c>
      <c r="AK538" s="98">
        <f t="shared" si="337"/>
        <v>100.89233345951688</v>
      </c>
      <c r="AL538" s="98">
        <f t="shared" si="338"/>
        <v>1.5608846086336574</v>
      </c>
      <c r="AM538" s="98" t="str">
        <f t="shared" si="323"/>
        <v>1+14937.2664304809i</v>
      </c>
      <c r="AN538" s="98">
        <f t="shared" si="339"/>
        <v>14937.266463954227</v>
      </c>
      <c r="AO538" s="98">
        <f t="shared" si="340"/>
        <v>1.5707293801414939</v>
      </c>
      <c r="AP538" s="168" t="str">
        <f t="shared" si="341"/>
        <v>-0.000978463945836796+0.0993859871810896i</v>
      </c>
      <c r="AQ538" s="98">
        <f t="shared" si="342"/>
        <v>-20.053075960314416</v>
      </c>
      <c r="AR538" s="169">
        <f t="shared" si="343"/>
        <v>90.564063857669666</v>
      </c>
      <c r="AS538" s="168" t="str">
        <f t="shared" si="344"/>
        <v>-0.00120555745192509-0.00137664621003546i</v>
      </c>
      <c r="AT538" s="190">
        <f t="shared" si="345"/>
        <v>-54.751466413731606</v>
      </c>
      <c r="AU538" s="169">
        <f t="shared" si="346"/>
        <v>-131.20930095833802</v>
      </c>
      <c r="AV538" s="225"/>
      <c r="AX538">
        <f t="shared" si="347"/>
        <v>0</v>
      </c>
      <c r="AY538">
        <f t="shared" si="348"/>
        <v>0</v>
      </c>
    </row>
    <row r="539" spans="14:51" x14ac:dyDescent="0.25">
      <c r="N539" s="170">
        <v>21</v>
      </c>
      <c r="O539" s="199">
        <f t="shared" si="314"/>
        <v>1621810.0973589318</v>
      </c>
      <c r="P539" s="189" t="str">
        <f t="shared" si="315"/>
        <v>87</v>
      </c>
      <c r="Q539" s="160" t="str">
        <f t="shared" si="316"/>
        <v>1+76426.0003107084i</v>
      </c>
      <c r="R539" s="160">
        <f t="shared" si="324"/>
        <v>76426.000317250669</v>
      </c>
      <c r="S539" s="160">
        <f t="shared" si="325"/>
        <v>1.5707832422425732</v>
      </c>
      <c r="T539" s="160" t="str">
        <f t="shared" si="317"/>
        <v>1+50.9506668738055i</v>
      </c>
      <c r="U539" s="160">
        <f t="shared" si="326"/>
        <v>50.960479343168487</v>
      </c>
      <c r="V539" s="160">
        <f t="shared" si="327"/>
        <v>1.5511720178920536</v>
      </c>
      <c r="W539" s="98" t="str">
        <f t="shared" si="318"/>
        <v>1-7.2180111404558i</v>
      </c>
      <c r="X539" s="160">
        <f t="shared" si="328"/>
        <v>7.2869530548607244</v>
      </c>
      <c r="Y539" s="160">
        <f t="shared" si="329"/>
        <v>-1.4331303304830174</v>
      </c>
      <c r="Z539" s="98" t="str">
        <f t="shared" si="319"/>
        <v>-17.7041279423671+15.1629184616445i</v>
      </c>
      <c r="AA539" s="160">
        <f t="shared" si="330"/>
        <v>23.309874355606965</v>
      </c>
      <c r="AB539" s="160">
        <f t="shared" si="331"/>
        <v>2.4333588240132196</v>
      </c>
      <c r="AC539" s="171" t="str">
        <f t="shared" si="332"/>
        <v>-0.013336873226339+0.0122884578205772i</v>
      </c>
      <c r="AD539" s="190">
        <f t="shared" si="333"/>
        <v>-34.829646714390513</v>
      </c>
      <c r="AE539" s="169">
        <f t="shared" si="334"/>
        <v>137.34284952789056</v>
      </c>
      <c r="AF539" s="98" t="str">
        <f t="shared" si="320"/>
        <v>-0.0000673063927557778</v>
      </c>
      <c r="AG539" s="98" t="str">
        <f t="shared" si="321"/>
        <v>0.102594262817095i</v>
      </c>
      <c r="AH539" s="98">
        <f t="shared" si="335"/>
        <v>0.10259426281709499</v>
      </c>
      <c r="AI539" s="98">
        <f t="shared" si="336"/>
        <v>1.5707963267948966</v>
      </c>
      <c r="AJ539" s="98" t="str">
        <f t="shared" si="322"/>
        <v>1+103.23734646659i</v>
      </c>
      <c r="AK539" s="98">
        <f t="shared" si="337"/>
        <v>103.24218956154863</v>
      </c>
      <c r="AL539" s="98">
        <f t="shared" si="338"/>
        <v>1.5611102126082508</v>
      </c>
      <c r="AM539" s="98" t="str">
        <f t="shared" si="323"/>
        <v>1+15285.2000621416i</v>
      </c>
      <c r="AN539" s="98">
        <f t="shared" si="339"/>
        <v>15285.200094852979</v>
      </c>
      <c r="AO539" s="98">
        <f t="shared" si="340"/>
        <v>1.5707309040333686</v>
      </c>
      <c r="AP539" s="168" t="str">
        <f t="shared" si="341"/>
        <v>-0.000934429945527325+0.0971241124464922i</v>
      </c>
      <c r="AQ539" s="98">
        <f t="shared" si="342"/>
        <v>-20.253056758901607</v>
      </c>
      <c r="AR539" s="169">
        <f t="shared" si="343"/>
        <v>90.55122501465695</v>
      </c>
      <c r="AS539" s="168" t="str">
        <f t="shared" si="344"/>
        <v>-0.00118104318543732-0.00130681467789146i</v>
      </c>
      <c r="AT539" s="190">
        <f t="shared" si="345"/>
        <v>-55.082703473292128</v>
      </c>
      <c r="AU539" s="169">
        <f t="shared" si="346"/>
        <v>-132.10592545745234</v>
      </c>
      <c r="AV539" s="225"/>
      <c r="AX539">
        <f t="shared" si="347"/>
        <v>0</v>
      </c>
      <c r="AY539">
        <f t="shared" si="348"/>
        <v>0</v>
      </c>
    </row>
    <row r="540" spans="14:51" x14ac:dyDescent="0.25">
      <c r="N540" s="170">
        <v>22</v>
      </c>
      <c r="O540" s="199">
        <f t="shared" si="314"/>
        <v>1659586.9074375622</v>
      </c>
      <c r="P540" s="189" t="str">
        <f t="shared" si="315"/>
        <v>87</v>
      </c>
      <c r="Q540" s="160" t="str">
        <f t="shared" si="316"/>
        <v>1+78206.1905459949i</v>
      </c>
      <c r="R540" s="160">
        <f t="shared" si="324"/>
        <v>78206.190552388274</v>
      </c>
      <c r="S540" s="160">
        <f t="shared" si="325"/>
        <v>1.5707835400833465</v>
      </c>
      <c r="T540" s="160" t="str">
        <f t="shared" si="317"/>
        <v>1+52.1374603639965i</v>
      </c>
      <c r="U540" s="160">
        <f t="shared" si="326"/>
        <v>52.14704951583844</v>
      </c>
      <c r="V540" s="160">
        <f t="shared" si="327"/>
        <v>1.5516186109053145</v>
      </c>
      <c r="W540" s="98" t="str">
        <f t="shared" si="318"/>
        <v>1-7.38614021823285i</v>
      </c>
      <c r="X540" s="160">
        <f t="shared" si="328"/>
        <v>7.45352717331847</v>
      </c>
      <c r="Y540" s="160">
        <f t="shared" si="329"/>
        <v>-1.4362258654462354</v>
      </c>
      <c r="Z540" s="98" t="str">
        <f t="shared" si="319"/>
        <v>-18.5856263348493+15.5161082043254i</v>
      </c>
      <c r="AA540" s="160">
        <f t="shared" si="330"/>
        <v>24.211053675273572</v>
      </c>
      <c r="AB540" s="160">
        <f t="shared" si="331"/>
        <v>2.4459631950150005</v>
      </c>
      <c r="AC540" s="171" t="str">
        <f t="shared" si="332"/>
        <v>-0.0129477487424674+0.0123003263553125i</v>
      </c>
      <c r="AD540" s="190">
        <f t="shared" si="333"/>
        <v>-34.962879790918919</v>
      </c>
      <c r="AE540" s="169">
        <f t="shared" si="334"/>
        <v>136.4688820071444</v>
      </c>
      <c r="AF540" s="98" t="str">
        <f t="shared" si="320"/>
        <v>-0.0000673063927557778</v>
      </c>
      <c r="AG540" s="98" t="str">
        <f t="shared" si="321"/>
        <v>0.104983990188943i</v>
      </c>
      <c r="AH540" s="98">
        <f t="shared" si="335"/>
        <v>0.104983990188943</v>
      </c>
      <c r="AI540" s="98">
        <f t="shared" si="336"/>
        <v>1.5707963267948966</v>
      </c>
      <c r="AJ540" s="98" t="str">
        <f t="shared" si="322"/>
        <v>1+105.642053180923i</v>
      </c>
      <c r="AK540" s="98">
        <f t="shared" si="337"/>
        <v>105.64678603857745</v>
      </c>
      <c r="AL540" s="98">
        <f t="shared" si="338"/>
        <v>1.5613306821622022</v>
      </c>
      <c r="AM540" s="98" t="str">
        <f t="shared" si="323"/>
        <v>1+15641.2381091989i</v>
      </c>
      <c r="AN540" s="98">
        <f t="shared" si="339"/>
        <v>15641.238141165677</v>
      </c>
      <c r="AO540" s="98">
        <f t="shared" si="340"/>
        <v>1.5707323932372297</v>
      </c>
      <c r="AP540" s="168" t="str">
        <f t="shared" si="341"/>
        <v>-0.000892377438198629+0.0949136958009881i</v>
      </c>
      <c r="AQ540" s="98">
        <f t="shared" si="342"/>
        <v>-20.453038421615538</v>
      </c>
      <c r="AR540" s="169">
        <f t="shared" si="343"/>
        <v>90.538678364800475</v>
      </c>
      <c r="AS540" s="168" t="str">
        <f t="shared" si="344"/>
        <v>-0.00115591515508776-0.00123989521917214i</v>
      </c>
      <c r="AT540" s="190">
        <f t="shared" si="345"/>
        <v>-55.415918212534471</v>
      </c>
      <c r="AU540" s="169">
        <f t="shared" si="346"/>
        <v>-132.99243962805494</v>
      </c>
      <c r="AV540" s="225"/>
      <c r="AX540">
        <f t="shared" si="347"/>
        <v>0</v>
      </c>
      <c r="AY540">
        <f t="shared" si="348"/>
        <v>0</v>
      </c>
    </row>
    <row r="541" spans="14:51" x14ac:dyDescent="0.25">
      <c r="N541" s="170">
        <v>23</v>
      </c>
      <c r="O541" s="199">
        <f t="shared" si="314"/>
        <v>1698243.6524617488</v>
      </c>
      <c r="P541" s="189" t="str">
        <f t="shared" si="315"/>
        <v>87</v>
      </c>
      <c r="Q541" s="160" t="str">
        <f t="shared" si="316"/>
        <v>1+80027.8467386905i</v>
      </c>
      <c r="R541" s="160">
        <f t="shared" si="324"/>
        <v>80027.846744938317</v>
      </c>
      <c r="S541" s="160">
        <f t="shared" si="325"/>
        <v>1.5707838311444362</v>
      </c>
      <c r="T541" s="160" t="str">
        <f t="shared" si="317"/>
        <v>1+53.3518978257935i</v>
      </c>
      <c r="U541" s="160">
        <f t="shared" si="326"/>
        <v>53.361268740669104</v>
      </c>
      <c r="V541" s="160">
        <f t="shared" si="327"/>
        <v>1.5520550456134252</v>
      </c>
      <c r="W541" s="98" t="str">
        <f t="shared" si="318"/>
        <v>1-7.55818552532076i</v>
      </c>
      <c r="X541" s="160">
        <f t="shared" si="328"/>
        <v>7.6240519696004334</v>
      </c>
      <c r="Y541" s="160">
        <f t="shared" si="329"/>
        <v>-1.4392534466974007</v>
      </c>
      <c r="Z541" s="98" t="str">
        <f t="shared" si="319"/>
        <v>-19.5086684666784+15.8775247929561i</v>
      </c>
      <c r="AA541" s="160">
        <f t="shared" si="330"/>
        <v>25.153209315984071</v>
      </c>
      <c r="AB541" s="160">
        <f t="shared" si="331"/>
        <v>2.4584512806730299</v>
      </c>
      <c r="AC541" s="171" t="str">
        <f t="shared" si="332"/>
        <v>-0.0125637308541754+0.0123012143138146i</v>
      </c>
      <c r="AD541" s="190">
        <f t="shared" si="333"/>
        <v>-35.098065780161633</v>
      </c>
      <c r="AE541" s="169">
        <f t="shared" si="334"/>
        <v>135.60488896715259</v>
      </c>
      <c r="AF541" s="98" t="str">
        <f t="shared" si="320"/>
        <v>-0.0000673063927557778</v>
      </c>
      <c r="AG541" s="98" t="str">
        <f t="shared" si="321"/>
        <v>0.107429381462017i</v>
      </c>
      <c r="AH541" s="98">
        <f t="shared" si="335"/>
        <v>0.107429381462017</v>
      </c>
      <c r="AI541" s="98">
        <f t="shared" si="336"/>
        <v>1.5707963267948966</v>
      </c>
      <c r="AJ541" s="98" t="str">
        <f t="shared" si="322"/>
        <v>1+108.102772710189i</v>
      </c>
      <c r="AK541" s="98">
        <f t="shared" si="337"/>
        <v>108.10739783951321</v>
      </c>
      <c r="AL541" s="98">
        <f t="shared" si="338"/>
        <v>1.5615461341056072</v>
      </c>
      <c r="AM541" s="98" t="str">
        <f t="shared" si="323"/>
        <v>1+16005.569347738i</v>
      </c>
      <c r="AN541" s="98">
        <f t="shared" si="339"/>
        <v>16005.569378977123</v>
      </c>
      <c r="AO541" s="98">
        <f t="shared" si="340"/>
        <v>1.5707338485426725</v>
      </c>
      <c r="AP541" s="168" t="str">
        <f t="shared" si="341"/>
        <v>-0.000852217273955748+0.0927535678150575i</v>
      </c>
      <c r="AQ541" s="98">
        <f t="shared" si="342"/>
        <v>-20.653020909570859</v>
      </c>
      <c r="AR541" s="169">
        <f t="shared" si="343"/>
        <v>90.526417260615247</v>
      </c>
      <c r="AS541" s="168" t="str">
        <f t="shared" si="344"/>
        <v>-0.0011302744876047-0.00117581416912175i</v>
      </c>
      <c r="AT541" s="190">
        <f t="shared" si="345"/>
        <v>-55.751086689732503</v>
      </c>
      <c r="AU541" s="169">
        <f t="shared" si="346"/>
        <v>-133.86869377223223</v>
      </c>
      <c r="AV541" s="225"/>
      <c r="AX541">
        <f t="shared" si="347"/>
        <v>0</v>
      </c>
      <c r="AY541">
        <f t="shared" si="348"/>
        <v>0</v>
      </c>
    </row>
    <row r="542" spans="14:51" x14ac:dyDescent="0.25">
      <c r="N542" s="170">
        <v>24</v>
      </c>
      <c r="O542" s="199">
        <f t="shared" si="314"/>
        <v>1737800.8287493798</v>
      </c>
      <c r="P542" s="189" t="str">
        <f t="shared" si="315"/>
        <v>87</v>
      </c>
      <c r="Q542" s="160" t="str">
        <f t="shared" si="316"/>
        <v>1+81891.9347550197i</v>
      </c>
      <c r="R542" s="160">
        <f t="shared" si="324"/>
        <v>81891.934761125303</v>
      </c>
      <c r="S542" s="160">
        <f t="shared" si="325"/>
        <v>1.5707841155801665</v>
      </c>
      <c r="T542" s="160" t="str">
        <f t="shared" si="317"/>
        <v>1+54.594623170013i</v>
      </c>
      <c r="U542" s="160">
        <f t="shared" si="326"/>
        <v>54.603780813014403</v>
      </c>
      <c r="V542" s="160">
        <f t="shared" si="327"/>
        <v>1.5524815527544236</v>
      </c>
      <c r="W542" s="98" t="str">
        <f t="shared" si="318"/>
        <v>1-7.73423828241852i</v>
      </c>
      <c r="X542" s="160">
        <f t="shared" si="328"/>
        <v>7.7986179422528563</v>
      </c>
      <c r="Y542" s="160">
        <f t="shared" si="329"/>
        <v>-1.4422144573703122</v>
      </c>
      <c r="Z542" s="98" t="str">
        <f t="shared" si="319"/>
        <v>-20.4752122339701+16.2473598553959i</v>
      </c>
      <c r="AA542" s="160">
        <f t="shared" si="330"/>
        <v>26.138305574326143</v>
      </c>
      <c r="AB542" s="160">
        <f t="shared" si="331"/>
        <v>2.4708193520808592</v>
      </c>
      <c r="AC542" s="171" t="str">
        <f t="shared" si="332"/>
        <v>-0.0121851414695339+0.0122915067672826i</v>
      </c>
      <c r="AD542" s="190">
        <f t="shared" si="333"/>
        <v>-35.23517901519093</v>
      </c>
      <c r="AE542" s="169">
        <f t="shared" si="334"/>
        <v>134.75101802226078</v>
      </c>
      <c r="AF542" s="98" t="str">
        <f t="shared" si="320"/>
        <v>-0.0000673063927557778</v>
      </c>
      <c r="AG542" s="98" t="str">
        <f t="shared" si="321"/>
        <v>0.109931733215138i</v>
      </c>
      <c r="AH542" s="98">
        <f t="shared" si="335"/>
        <v>0.10993173321513799</v>
      </c>
      <c r="AI542" s="98">
        <f t="shared" si="336"/>
        <v>1.5707963267948966</v>
      </c>
      <c r="AJ542" s="98" t="str">
        <f t="shared" si="322"/>
        <v>1+110.620809760455i</v>
      </c>
      <c r="AK542" s="98">
        <f t="shared" si="337"/>
        <v>110.62532961333393</v>
      </c>
      <c r="AL542" s="98">
        <f t="shared" si="338"/>
        <v>1.5617566825938831</v>
      </c>
      <c r="AM542" s="98" t="str">
        <f t="shared" si="323"/>
        <v>1+16378.3869510039i</v>
      </c>
      <c r="AN542" s="98">
        <f t="shared" si="339"/>
        <v>16378.386981531934</v>
      </c>
      <c r="AO542" s="98">
        <f t="shared" si="340"/>
        <v>1.5707352707213194</v>
      </c>
      <c r="AP542" s="168" t="str">
        <f t="shared" si="341"/>
        <v>-0.000813864312496542+0.0906425855518923i</v>
      </c>
      <c r="AQ542" s="98">
        <f t="shared" si="342"/>
        <v>-20.853004185632216</v>
      </c>
      <c r="AR542" s="169">
        <f t="shared" si="343"/>
        <v>90.514435205688372</v>
      </c>
      <c r="AS542" s="168" t="str">
        <f t="shared" si="344"/>
        <v>-0.0011042169019303-0.00111449634681884i</v>
      </c>
      <c r="AT542" s="190">
        <f t="shared" si="345"/>
        <v>-56.088183200823131</v>
      </c>
      <c r="AU542" s="169">
        <f t="shared" si="346"/>
        <v>-134.73454677205081</v>
      </c>
      <c r="AV542" s="225"/>
      <c r="AX542">
        <f t="shared" si="347"/>
        <v>0</v>
      </c>
      <c r="AY542">
        <f t="shared" si="348"/>
        <v>0</v>
      </c>
    </row>
    <row r="543" spans="14:51" x14ac:dyDescent="0.25">
      <c r="N543" s="170">
        <v>25</v>
      </c>
      <c r="O543" s="199">
        <f t="shared" si="314"/>
        <v>1778279.4100389241</v>
      </c>
      <c r="P543" s="189" t="str">
        <f t="shared" si="315"/>
        <v>87</v>
      </c>
      <c r="Q543" s="160" t="str">
        <f t="shared" si="316"/>
        <v>1+83799.442959124i</v>
      </c>
      <c r="R543" s="160">
        <f t="shared" si="324"/>
        <v>83799.442965090624</v>
      </c>
      <c r="S543" s="160">
        <f t="shared" si="325"/>
        <v>1.5707843935413492</v>
      </c>
      <c r="T543" s="160" t="str">
        <f t="shared" si="317"/>
        <v>1+55.8662953060825i</v>
      </c>
      <c r="U543" s="160">
        <f t="shared" si="326"/>
        <v>55.875244529455216</v>
      </c>
      <c r="V543" s="160">
        <f t="shared" si="327"/>
        <v>1.5528983578470035</v>
      </c>
      <c r="W543" s="98" t="str">
        <f t="shared" si="318"/>
        <v>1-7.91439183502837i</v>
      </c>
      <c r="X543" s="160">
        <f t="shared" si="328"/>
        <v>7.9773177270536078</v>
      </c>
      <c r="Y543" s="160">
        <f t="shared" si="329"/>
        <v>-1.4451102596345367</v>
      </c>
      <c r="Z543" s="98" t="str">
        <f t="shared" si="319"/>
        <v>-21.4873078056418+16.6258094830902i</v>
      </c>
      <c r="AA543" s="160">
        <f t="shared" si="330"/>
        <v>27.168399616142413</v>
      </c>
      <c r="AB543" s="160">
        <f t="shared" si="331"/>
        <v>2.4830638554333451</v>
      </c>
      <c r="AC543" s="171" t="str">
        <f t="shared" si="332"/>
        <v>-0.0118122794622362+0.012271598649425i</v>
      </c>
      <c r="AD543" s="190">
        <f t="shared" si="333"/>
        <v>-35.37419218308812</v>
      </c>
      <c r="AE543" s="169">
        <f t="shared" si="334"/>
        <v>133.90740765656719</v>
      </c>
      <c r="AF543" s="98" t="str">
        <f t="shared" si="320"/>
        <v>-0.0000673063927557778</v>
      </c>
      <c r="AG543" s="98" t="str">
        <f t="shared" si="321"/>
        <v>0.112492372228328i</v>
      </c>
      <c r="AH543" s="98">
        <f t="shared" si="335"/>
        <v>0.112492372228328</v>
      </c>
      <c r="AI543" s="98">
        <f t="shared" si="336"/>
        <v>1.5707963267948966</v>
      </c>
      <c r="AJ543" s="98" t="str">
        <f t="shared" si="322"/>
        <v>1+113.197499428296i</v>
      </c>
      <c r="AK543" s="98">
        <f t="shared" si="337"/>
        <v>113.20191640082368</v>
      </c>
      <c r="AL543" s="98">
        <f t="shared" si="338"/>
        <v>1.5619624391879121</v>
      </c>
      <c r="AM543" s="98" t="str">
        <f t="shared" si="323"/>
        <v>1+16759.8885918247i</v>
      </c>
      <c r="AN543" s="98">
        <f t="shared" si="339"/>
        <v>16759.888621657832</v>
      </c>
      <c r="AO543" s="98">
        <f t="shared" si="340"/>
        <v>1.5707366605272282</v>
      </c>
      <c r="AP543" s="168" t="str">
        <f t="shared" si="341"/>
        <v>-0.000777237242897858+0.0885796319728132i</v>
      </c>
      <c r="AQ543" s="98">
        <f t="shared" si="342"/>
        <v>-21.05298821433469</v>
      </c>
      <c r="AR543" s="169">
        <f t="shared" si="343"/>
        <v>90.502725851256415</v>
      </c>
      <c r="AS543" s="168" t="str">
        <f t="shared" si="344"/>
        <v>-0.00107783274856257-0.00105586531102513i</v>
      </c>
      <c r="AT543" s="190">
        <f t="shared" si="345"/>
        <v>-56.427180397422809</v>
      </c>
      <c r="AU543" s="169">
        <f t="shared" si="346"/>
        <v>-135.58986649217638</v>
      </c>
      <c r="AV543" s="225"/>
      <c r="AX543">
        <f t="shared" si="347"/>
        <v>0</v>
      </c>
      <c r="AY543">
        <f t="shared" si="348"/>
        <v>0</v>
      </c>
    </row>
    <row r="544" spans="14:51" x14ac:dyDescent="0.25">
      <c r="N544" s="170">
        <v>26</v>
      </c>
      <c r="O544" s="199">
        <f t="shared" si="314"/>
        <v>1819700.8586099846</v>
      </c>
      <c r="P544" s="189" t="str">
        <f t="shared" si="315"/>
        <v>87</v>
      </c>
      <c r="Q544" s="160" t="str">
        <f t="shared" si="316"/>
        <v>1+85751.3827371025i</v>
      </c>
      <c r="R544" s="160">
        <f t="shared" si="324"/>
        <v>85751.382742933303</v>
      </c>
      <c r="S544" s="160">
        <f t="shared" si="325"/>
        <v>1.5707846651753632</v>
      </c>
      <c r="T544" s="160" t="str">
        <f t="shared" si="317"/>
        <v>1+57.1675884914015i</v>
      </c>
      <c r="U544" s="160">
        <f t="shared" si="326"/>
        <v>57.176334037101597</v>
      </c>
      <c r="V544" s="160">
        <f t="shared" si="327"/>
        <v>1.5533056813071293</v>
      </c>
      <c r="W544" s="98" t="str">
        <f t="shared" si="318"/>
        <v>1-8.09874170294856i</v>
      </c>
      <c r="X544" s="160">
        <f t="shared" si="328"/>
        <v>8.1602461464761067</v>
      </c>
      <c r="Y544" s="160">
        <f t="shared" si="329"/>
        <v>-1.4479421945133573</v>
      </c>
      <c r="Z544" s="98" t="str">
        <f t="shared" si="319"/>
        <v>-22.5471019720954+17.0130743350411i</v>
      </c>
      <c r="AA544" s="160">
        <f t="shared" si="330"/>
        <v>28.245645782486591</v>
      </c>
      <c r="AB544" s="160">
        <f t="shared" si="331"/>
        <v>2.4951814183497856</v>
      </c>
      <c r="AC544" s="171" t="str">
        <f t="shared" si="332"/>
        <v>-0.0114454203596155+0.0122418930831928i</v>
      </c>
      <c r="AD544" s="190">
        <f t="shared" si="333"/>
        <v>-35.51507644511603</v>
      </c>
      <c r="AE544" s="169">
        <f t="shared" si="334"/>
        <v>133.07418687873772</v>
      </c>
      <c r="AF544" s="98" t="str">
        <f t="shared" si="320"/>
        <v>-0.0000673063927557778</v>
      </c>
      <c r="AG544" s="98" t="str">
        <f t="shared" si="321"/>
        <v>0.115112656186286i</v>
      </c>
      <c r="AH544" s="98">
        <f t="shared" si="335"/>
        <v>0.11511265618628599</v>
      </c>
      <c r="AI544" s="98">
        <f t="shared" si="336"/>
        <v>1.5707963267948966</v>
      </c>
      <c r="AJ544" s="98" t="str">
        <f t="shared" si="322"/>
        <v>1+115.83420790868i</v>
      </c>
      <c r="AK544" s="98">
        <f t="shared" si="337"/>
        <v>115.8385243424281</v>
      </c>
      <c r="AL544" s="98">
        <f t="shared" si="338"/>
        <v>1.5621635129128373</v>
      </c>
      <c r="AM544" s="98" t="str">
        <f t="shared" si="323"/>
        <v>1+17150.2765474204i</v>
      </c>
      <c r="AN544" s="98">
        <f t="shared" si="339"/>
        <v>17150.276576574448</v>
      </c>
      <c r="AO544" s="98">
        <f t="shared" si="340"/>
        <v>1.5707380186972923</v>
      </c>
      <c r="AP544" s="168" t="str">
        <f t="shared" si="341"/>
        <v>-0.000742258411490757+0.0865636153556431i</v>
      </c>
      <c r="AQ544" s="98">
        <f t="shared" si="342"/>
        <v>-21.252972961809125</v>
      </c>
      <c r="AR544" s="169">
        <f t="shared" si="343"/>
        <v>90.49128299285978</v>
      </c>
      <c r="AS544" s="168" t="str">
        <f t="shared" si="344"/>
        <v>-0.00105120706454344-0.000999843613706973i</v>
      </c>
      <c r="AT544" s="190">
        <f t="shared" si="345"/>
        <v>-56.768049406925137</v>
      </c>
      <c r="AU544" s="169">
        <f t="shared" si="346"/>
        <v>-136.43453012840257</v>
      </c>
      <c r="AV544" s="225"/>
      <c r="AX544">
        <f t="shared" si="347"/>
        <v>0</v>
      </c>
      <c r="AY544">
        <f t="shared" si="348"/>
        <v>0</v>
      </c>
    </row>
    <row r="545" spans="14:51" x14ac:dyDescent="0.25">
      <c r="N545" s="170">
        <v>27</v>
      </c>
      <c r="O545" s="199">
        <f t="shared" si="314"/>
        <v>1862087.1366628683</v>
      </c>
      <c r="P545" s="189" t="str">
        <f t="shared" si="315"/>
        <v>87</v>
      </c>
      <c r="Q545" s="160" t="str">
        <f t="shared" si="316"/>
        <v>1+87748.7890332617i</v>
      </c>
      <c r="R545" s="160">
        <f t="shared" si="324"/>
        <v>87748.789038959774</v>
      </c>
      <c r="S545" s="160">
        <f t="shared" si="325"/>
        <v>1.5707849306262318</v>
      </c>
      <c r="T545" s="160" t="str">
        <f t="shared" si="317"/>
        <v>1+58.499192688841i</v>
      </c>
      <c r="U545" s="160">
        <f t="shared" si="326"/>
        <v>58.50773919103478</v>
      </c>
      <c r="V545" s="160">
        <f t="shared" si="327"/>
        <v>1.5537037385621408</v>
      </c>
      <c r="W545" s="98" t="str">
        <f t="shared" si="318"/>
        <v>1-8.28738563091916i</v>
      </c>
      <c r="X545" s="160">
        <f t="shared" si="328"/>
        <v>8.3475002602914206</v>
      </c>
      <c r="Y545" s="160">
        <f t="shared" si="329"/>
        <v>-1.4507115817453791</v>
      </c>
      <c r="Z545" s="98" t="str">
        <f t="shared" si="319"/>
        <v>-23.6568426988467+17.4093597441991i</v>
      </c>
      <c r="AA545" s="160">
        <f t="shared" si="330"/>
        <v>29.372300100280135</v>
      </c>
      <c r="AB545" s="160">
        <f t="shared" si="331"/>
        <v>2.507168855205189</v>
      </c>
      <c r="AC545" s="171" t="str">
        <f t="shared" si="332"/>
        <v>-0.0110848161737725+0.0122027997173066i</v>
      </c>
      <c r="AD545" s="190">
        <f t="shared" si="333"/>
        <v>-35.657801558209428</v>
      </c>
      <c r="AE545" s="169">
        <f t="shared" si="334"/>
        <v>132.25147493101355</v>
      </c>
      <c r="AF545" s="98" t="str">
        <f t="shared" si="320"/>
        <v>-0.0000673063927557778</v>
      </c>
      <c r="AG545" s="98" t="str">
        <f t="shared" si="321"/>
        <v>0.117793974398251i</v>
      </c>
      <c r="AH545" s="98">
        <f t="shared" si="335"/>
        <v>0.117793974398251</v>
      </c>
      <c r="AI545" s="98">
        <f t="shared" si="336"/>
        <v>1.5707963267948966</v>
      </c>
      <c r="AJ545" s="98" t="str">
        <f t="shared" si="322"/>
        <v>1+118.532333219344i</v>
      </c>
      <c r="AK545" s="98">
        <f t="shared" si="337"/>
        <v>118.53655140260156</v>
      </c>
      <c r="AL545" s="98">
        <f t="shared" si="338"/>
        <v>1.5623600103155351</v>
      </c>
      <c r="AM545" s="98" t="str">
        <f t="shared" si="323"/>
        <v>1+17549.7578066523i</v>
      </c>
      <c r="AN545" s="98">
        <f t="shared" si="339"/>
        <v>17549.757835142722</v>
      </c>
      <c r="AO545" s="98">
        <f t="shared" si="340"/>
        <v>1.5707393459516317</v>
      </c>
      <c r="AP545" s="168" t="str">
        <f t="shared" si="341"/>
        <v>-0.000708853657462834+0.0845934687257989i</v>
      </c>
      <c r="AQ545" s="98">
        <f t="shared" si="342"/>
        <v>-21.452958395710283</v>
      </c>
      <c r="AR545" s="169">
        <f t="shared" si="343"/>
        <v>90.480100567071901</v>
      </c>
      <c r="AS545" s="168" t="str">
        <f t="shared" si="344"/>
        <v>-0.00102441964376608-0.000946353049538153i</v>
      </c>
      <c r="AT545" s="190">
        <f t="shared" si="345"/>
        <v>-57.110759953919718</v>
      </c>
      <c r="AU545" s="169">
        <f t="shared" si="346"/>
        <v>-137.2684245019145</v>
      </c>
      <c r="AV545" s="225"/>
      <c r="AX545">
        <f t="shared" si="347"/>
        <v>0</v>
      </c>
      <c r="AY545">
        <f t="shared" si="348"/>
        <v>0</v>
      </c>
    </row>
    <row r="546" spans="14:51" x14ac:dyDescent="0.25">
      <c r="N546" s="170">
        <v>28</v>
      </c>
      <c r="O546" s="199">
        <f t="shared" si="314"/>
        <v>1905460.7179632513</v>
      </c>
      <c r="P546" s="189" t="str">
        <f t="shared" si="315"/>
        <v>87</v>
      </c>
      <c r="Q546" s="160" t="str">
        <f t="shared" si="316"/>
        <v>1+89792.7208988597i</v>
      </c>
      <c r="R546" s="160">
        <f t="shared" si="324"/>
        <v>89792.720904428075</v>
      </c>
      <c r="S546" s="160">
        <f t="shared" si="325"/>
        <v>1.570785190034701</v>
      </c>
      <c r="T546" s="160" t="str">
        <f t="shared" si="317"/>
        <v>1+59.861813932573i</v>
      </c>
      <c r="U546" s="160">
        <f t="shared" si="326"/>
        <v>59.870165920080694</v>
      </c>
      <c r="V546" s="160">
        <f t="shared" si="327"/>
        <v>1.5540927401623981</v>
      </c>
      <c r="W546" s="98" t="str">
        <f t="shared" si="318"/>
        <v>1-8.48042364044786i</v>
      </c>
      <c r="X546" s="160">
        <f t="shared" si="328"/>
        <v>8.5391794173367117</v>
      </c>
      <c r="Y546" s="160">
        <f t="shared" si="329"/>
        <v>-1.4534197196866259</v>
      </c>
      <c r="Z546" s="98" t="str">
        <f t="shared" si="319"/>
        <v>-24.8188838947632+17.8148758263337i</v>
      </c>
      <c r="AA546" s="160">
        <f t="shared" si="330"/>
        <v>30.550725007590653</v>
      </c>
      <c r="AB546" s="160">
        <f t="shared" si="331"/>
        <v>2.5190231714783233</v>
      </c>
      <c r="AC546" s="171" t="str">
        <f t="shared" si="332"/>
        <v>-0.0107306953710268+0.0121547330859408i</v>
      </c>
      <c r="AD546" s="190">
        <f t="shared" si="333"/>
        <v>-35.802335997044814</v>
      </c>
      <c r="AE546" s="169">
        <f t="shared" si="334"/>
        <v>131.43938105208517</v>
      </c>
      <c r="AF546" s="98" t="str">
        <f t="shared" si="320"/>
        <v>-0.0000673063927557778</v>
      </c>
      <c r="AG546" s="98" t="str">
        <f t="shared" si="321"/>
        <v>0.120537748534629i</v>
      </c>
      <c r="AH546" s="98">
        <f t="shared" si="335"/>
        <v>0.12053774853462899</v>
      </c>
      <c r="AI546" s="98">
        <f t="shared" si="336"/>
        <v>1.5707963267948966</v>
      </c>
      <c r="AJ546" s="98" t="str">
        <f t="shared" si="322"/>
        <v>1+121.293305942043i</v>
      </c>
      <c r="AK546" s="98">
        <f t="shared" si="337"/>
        <v>121.29742811102817</v>
      </c>
      <c r="AL546" s="98">
        <f t="shared" si="338"/>
        <v>1.5625520355207987</v>
      </c>
      <c r="AM546" s="98" t="str">
        <f t="shared" si="323"/>
        <v>1+17958.5441797719i</v>
      </c>
      <c r="AN546" s="98">
        <f t="shared" si="339"/>
        <v>17958.544207613799</v>
      </c>
      <c r="AO546" s="98">
        <f t="shared" si="340"/>
        <v>1.5707406429939741</v>
      </c>
      <c r="AP546" s="168" t="str">
        <f t="shared" si="341"/>
        <v>-0.000676952155841497+0.0826681492998427i</v>
      </c>
      <c r="AQ546" s="98">
        <f t="shared" si="342"/>
        <v>-21.652944485148197</v>
      </c>
      <c r="AR546" s="169">
        <f t="shared" si="343"/>
        <v>90.469172648302219</v>
      </c>
      <c r="AS546" s="168" t="str">
        <f t="shared" si="344"/>
        <v>-0.000997545122083197-0.00089531489978938i</v>
      </c>
      <c r="AT546" s="190">
        <f t="shared" si="345"/>
        <v>-57.455280482193004</v>
      </c>
      <c r="AU546" s="169">
        <f t="shared" si="346"/>
        <v>-138.09144629961264</v>
      </c>
      <c r="AV546" s="225"/>
      <c r="AX546">
        <f t="shared" si="347"/>
        <v>0</v>
      </c>
      <c r="AY546">
        <f t="shared" si="348"/>
        <v>0</v>
      </c>
    </row>
    <row r="547" spans="14:51" x14ac:dyDescent="0.25">
      <c r="N547" s="170">
        <v>29</v>
      </c>
      <c r="O547" s="199">
        <f t="shared" si="314"/>
        <v>1949844.5997580495</v>
      </c>
      <c r="P547" s="189" t="str">
        <f t="shared" si="315"/>
        <v>87</v>
      </c>
      <c r="Q547" s="160" t="str">
        <f t="shared" si="316"/>
        <v>1+91884.2620536242i</v>
      </c>
      <c r="R547" s="160">
        <f t="shared" si="324"/>
        <v>91884.262059065833</v>
      </c>
      <c r="S547" s="160">
        <f t="shared" si="325"/>
        <v>1.5707854435383126</v>
      </c>
      <c r="T547" s="160" t="str">
        <f t="shared" si="317"/>
        <v>1+61.256174702416i</v>
      </c>
      <c r="U547" s="160">
        <f t="shared" si="326"/>
        <v>61.264336601100233</v>
      </c>
      <c r="V547" s="160">
        <f t="shared" si="327"/>
        <v>1.5544728918905115</v>
      </c>
      <c r="W547" s="98" t="str">
        <f t="shared" si="318"/>
        <v>1-8.67795808284228i</v>
      </c>
      <c r="X547" s="160">
        <f t="shared" si="328"/>
        <v>8.7353853084776798</v>
      </c>
      <c r="Y547" s="160">
        <f t="shared" si="329"/>
        <v>-1.4560678852501163</v>
      </c>
      <c r="Z547" s="98" t="str">
        <f t="shared" si="319"/>
        <v>-26.0356904050177+18.229837591439i</v>
      </c>
      <c r="AA547" s="160">
        <f t="shared" si="330"/>
        <v>31.783394303884116</v>
      </c>
      <c r="AB547" s="160">
        <f t="shared" si="331"/>
        <v>2.5307415671328197</v>
      </c>
      <c r="AC547" s="171" t="str">
        <f t="shared" si="332"/>
        <v>-0.0103832629736319+0.012098111003961i</v>
      </c>
      <c r="AD547" s="190">
        <f t="shared" si="333"/>
        <v>-35.948647075980979</v>
      </c>
      <c r="AE547" s="169">
        <f t="shared" si="334"/>
        <v>130.63800429308674</v>
      </c>
      <c r="AF547" s="98" t="str">
        <f t="shared" si="320"/>
        <v>-0.0000673063927557778</v>
      </c>
      <c r="AG547" s="98" t="str">
        <f t="shared" si="321"/>
        <v>0.123345433380785i</v>
      </c>
      <c r="AH547" s="98">
        <f t="shared" si="335"/>
        <v>0.12334543338078501</v>
      </c>
      <c r="AI547" s="98">
        <f t="shared" si="336"/>
        <v>1.5707963267948966</v>
      </c>
      <c r="AJ547" s="98" t="str">
        <f t="shared" si="322"/>
        <v>1+124.118589981057i</v>
      </c>
      <c r="AK547" s="98">
        <f t="shared" si="337"/>
        <v>124.1226183211011</v>
      </c>
      <c r="AL547" s="98">
        <f t="shared" si="338"/>
        <v>1.5627396902862556</v>
      </c>
      <c r="AM547" s="98" t="str">
        <f t="shared" si="323"/>
        <v>1+18376.8524107248i</v>
      </c>
      <c r="AN547" s="98">
        <f t="shared" si="339"/>
        <v>18376.852437932943</v>
      </c>
      <c r="AO547" s="98">
        <f t="shared" si="340"/>
        <v>1.5707419105120282</v>
      </c>
      <c r="AP547" s="168" t="str">
        <f t="shared" si="341"/>
        <v>-0.000646486267527733+0.0807866379412377i</v>
      </c>
      <c r="AQ547" s="98">
        <f t="shared" si="342"/>
        <v>-21.85293120062294</v>
      </c>
      <c r="AR547" s="169">
        <f t="shared" si="343"/>
        <v>90.458493445670996</v>
      </c>
      <c r="AS547" s="168" t="str">
        <f t="shared" si="344"/>
        <v>-0.000970653076525319-0.000846650169126546i</v>
      </c>
      <c r="AT547" s="190">
        <f t="shared" si="345"/>
        <v>-57.801578276603919</v>
      </c>
      <c r="AU547" s="169">
        <f t="shared" si="346"/>
        <v>-138.90350226124227</v>
      </c>
      <c r="AV547" s="225"/>
      <c r="AX547">
        <f t="shared" si="347"/>
        <v>0</v>
      </c>
      <c r="AY547">
        <f t="shared" si="348"/>
        <v>0</v>
      </c>
    </row>
    <row r="548" spans="14:51" x14ac:dyDescent="0.25">
      <c r="N548" s="170">
        <v>30</v>
      </c>
      <c r="O548" s="199">
        <f t="shared" si="314"/>
        <v>1995262.31496888</v>
      </c>
      <c r="P548" s="189" t="str">
        <f t="shared" si="315"/>
        <v>87</v>
      </c>
      <c r="Q548" s="160" t="str">
        <f t="shared" si="316"/>
        <v>1+94024.5214603622i</v>
      </c>
      <c r="R548" s="160">
        <f t="shared" si="324"/>
        <v>94024.521465679965</v>
      </c>
      <c r="S548" s="160">
        <f t="shared" si="325"/>
        <v>1.5707856912714775</v>
      </c>
      <c r="T548" s="160" t="str">
        <f t="shared" si="317"/>
        <v>1+62.683014306908i</v>
      </c>
      <c r="U548" s="160">
        <f t="shared" si="326"/>
        <v>62.690990442008754</v>
      </c>
      <c r="V548" s="160">
        <f t="shared" si="327"/>
        <v>1.5548443948682049</v>
      </c>
      <c r="W548" s="98" t="str">
        <f t="shared" si="318"/>
        <v>1-8.88009369347865i</v>
      </c>
      <c r="X548" s="160">
        <f t="shared" si="328"/>
        <v>8.9362220207959968</v>
      </c>
      <c r="Y548" s="160">
        <f t="shared" si="329"/>
        <v>-1.4586573338801103</v>
      </c>
      <c r="Z548" s="98" t="str">
        <f t="shared" si="319"/>
        <v>-27.3098432393599+18.6544650577358i</v>
      </c>
      <c r="AA548" s="160">
        <f t="shared" si="330"/>
        <v>33.072898336080215</v>
      </c>
      <c r="AB548" s="160">
        <f t="shared" si="331"/>
        <v>2.542321439054982</v>
      </c>
      <c r="AC548" s="171" t="str">
        <f t="shared" si="332"/>
        <v>-0.0100427007865679+0.0120333530090399i</v>
      </c>
      <c r="AD548" s="190">
        <f t="shared" si="333"/>
        <v>-36.096701070199231</v>
      </c>
      <c r="AE548" s="169">
        <f t="shared" si="334"/>
        <v>129.84743338551399</v>
      </c>
      <c r="AF548" s="98" t="str">
        <f t="shared" si="320"/>
        <v>-0.0000673063927557778</v>
      </c>
      <c r="AG548" s="98" t="str">
        <f t="shared" si="321"/>
        <v>0.12621851760839i</v>
      </c>
      <c r="AH548" s="98">
        <f t="shared" si="335"/>
        <v>0.12621851760839001</v>
      </c>
      <c r="AI548" s="98">
        <f t="shared" si="336"/>
        <v>1.5707963267948966</v>
      </c>
      <c r="AJ548" s="98" t="str">
        <f t="shared" si="322"/>
        <v>1+127.009683339384i</v>
      </c>
      <c r="AK548" s="98">
        <f t="shared" si="337"/>
        <v>127.0136199860889</v>
      </c>
      <c r="AL548" s="98">
        <f t="shared" si="338"/>
        <v>1.5629230740560511</v>
      </c>
      <c r="AM548" s="98" t="str">
        <f t="shared" si="323"/>
        <v>1+18804.9042920724i</v>
      </c>
      <c r="AN548" s="98">
        <f t="shared" si="339"/>
        <v>18804.904318661207</v>
      </c>
      <c r="AO548" s="98">
        <f t="shared" si="340"/>
        <v>1.5707431491778492</v>
      </c>
      <c r="AP548" s="168" t="str">
        <f t="shared" si="341"/>
        <v>-0.000617391396064239+0.0789479386280682i</v>
      </c>
      <c r="AQ548" s="98">
        <f t="shared" si="342"/>
        <v>-22.052918513961913</v>
      </c>
      <c r="AR548" s="169">
        <f t="shared" si="343"/>
        <v>90.448057299954286</v>
      </c>
      <c r="AS548" s="168" t="str">
        <f t="shared" si="344"/>
        <v>-0.000943808137788687-0.0008002798139716i</v>
      </c>
      <c r="AT548" s="190">
        <f t="shared" si="345"/>
        <v>-58.149619584161137</v>
      </c>
      <c r="AU548" s="169">
        <f t="shared" si="346"/>
        <v>-139.70450931453172</v>
      </c>
      <c r="AV548" s="225"/>
      <c r="AX548">
        <f t="shared" si="347"/>
        <v>0</v>
      </c>
      <c r="AY548">
        <f t="shared" si="348"/>
        <v>0</v>
      </c>
    </row>
    <row r="549" spans="14:51" x14ac:dyDescent="0.25">
      <c r="N549" s="170">
        <v>31</v>
      </c>
      <c r="O549" s="199">
        <f t="shared" si="314"/>
        <v>2041737.9446695296</v>
      </c>
      <c r="P549" s="189" t="str">
        <f t="shared" si="315"/>
        <v>87</v>
      </c>
      <c r="Q549" s="160" t="str">
        <f t="shared" si="316"/>
        <v>1+96214.6339129397i</v>
      </c>
      <c r="R549" s="160">
        <f t="shared" si="324"/>
        <v>96214.633918136402</v>
      </c>
      <c r="S549" s="160">
        <f t="shared" si="325"/>
        <v>1.5707859333655472</v>
      </c>
      <c r="T549" s="160" t="str">
        <f t="shared" si="317"/>
        <v>1+64.143089275293i</v>
      </c>
      <c r="U549" s="160">
        <f t="shared" si="326"/>
        <v>64.150883873709859</v>
      </c>
      <c r="V549" s="160">
        <f t="shared" si="327"/>
        <v>1.5552074456608571</v>
      </c>
      <c r="W549" s="98" t="str">
        <f t="shared" si="318"/>
        <v>1-9.08693764733319i</v>
      </c>
      <c r="X549" s="160">
        <f t="shared" si="328"/>
        <v>9.1417960930290523</v>
      </c>
      <c r="Y549" s="160">
        <f t="shared" si="329"/>
        <v>-1.4611892995583231</v>
      </c>
      <c r="Z549" s="98" t="str">
        <f t="shared" si="319"/>
        <v>-28.6440450467793+19.0889833683272i</v>
      </c>
      <c r="AA549" s="160">
        <f t="shared" si="330"/>
        <v>34.421949431695381</v>
      </c>
      <c r="AB549" s="160">
        <f t="shared" si="331"/>
        <v>2.5537603825780373</v>
      </c>
      <c r="AC549" s="171" t="str">
        <f t="shared" si="332"/>
        <v>-0.00970916774129685+0.0119608788608152i</v>
      </c>
      <c r="AD549" s="190">
        <f t="shared" si="333"/>
        <v>-36.246463335407093</v>
      </c>
      <c r="AE549" s="169">
        <f t="shared" si="334"/>
        <v>129.06774665951991</v>
      </c>
      <c r="AF549" s="98" t="str">
        <f t="shared" si="320"/>
        <v>-0.0000673063927557778</v>
      </c>
      <c r="AG549" s="98" t="str">
        <f t="shared" si="321"/>
        <v>0.12915852456473i</v>
      </c>
      <c r="AH549" s="98">
        <f t="shared" si="335"/>
        <v>0.12915852456473001</v>
      </c>
      <c r="AI549" s="98">
        <f t="shared" si="336"/>
        <v>1.5707963267948966</v>
      </c>
      <c r="AJ549" s="98" t="str">
        <f t="shared" si="322"/>
        <v>1+129.968118912989i</v>
      </c>
      <c r="AK549" s="98">
        <f t="shared" si="337"/>
        <v>129.97196595335802</v>
      </c>
      <c r="AL549" s="98">
        <f t="shared" si="338"/>
        <v>1.5631022840133217</v>
      </c>
      <c r="AM549" s="98" t="str">
        <f t="shared" si="323"/>
        <v>1+19242.9267825879i</v>
      </c>
      <c r="AN549" s="98">
        <f t="shared" si="339"/>
        <v>19242.926808571472</v>
      </c>
      <c r="AO549" s="98">
        <f t="shared" si="340"/>
        <v>1.570744359648194</v>
      </c>
      <c r="AP549" s="168" t="str">
        <f t="shared" si="341"/>
        <v>-0.000589605850836581+0.0771510779324761i</v>
      </c>
      <c r="AQ549" s="98">
        <f t="shared" si="342"/>
        <v>-22.252906398260034</v>
      </c>
      <c r="AR549" s="169">
        <f t="shared" si="343"/>
        <v>90.437858680597927</v>
      </c>
      <c r="AS549" s="168" t="str">
        <f t="shared" si="344"/>
        <v>-0.000917070115024637-0.00075612496122576i</v>
      </c>
      <c r="AT549" s="190">
        <f t="shared" si="345"/>
        <v>-58.49936973366713</v>
      </c>
      <c r="AU549" s="169">
        <f t="shared" si="346"/>
        <v>-140.49439465988215</v>
      </c>
      <c r="AV549" s="225"/>
      <c r="AX549">
        <f t="shared" si="347"/>
        <v>0</v>
      </c>
      <c r="AY549">
        <f t="shared" si="348"/>
        <v>0</v>
      </c>
    </row>
    <row r="550" spans="14:51" x14ac:dyDescent="0.25">
      <c r="N550" s="170">
        <v>32</v>
      </c>
      <c r="O550" s="199">
        <f t="shared" si="314"/>
        <v>2089296.1308540432</v>
      </c>
      <c r="P550" s="189" t="str">
        <f t="shared" si="315"/>
        <v>87</v>
      </c>
      <c r="Q550" s="160" t="str">
        <f t="shared" si="316"/>
        <v>1+98455.76063797i</v>
      </c>
      <c r="R550" s="160">
        <f t="shared" si="324"/>
        <v>98455.760643048416</v>
      </c>
      <c r="S550" s="160">
        <f t="shared" si="325"/>
        <v>1.570786169948883</v>
      </c>
      <c r="T550" s="160" t="str">
        <f t="shared" si="317"/>
        <v>1+65.6371737586465i</v>
      </c>
      <c r="U550" s="160">
        <f t="shared" si="326"/>
        <v>65.644790951169554</v>
      </c>
      <c r="V550" s="160">
        <f t="shared" si="327"/>
        <v>1.5555622363797665</v>
      </c>
      <c r="W550" s="98" t="str">
        <f t="shared" si="318"/>
        <v>1-9.29859961580827i</v>
      </c>
      <c r="X550" s="160">
        <f t="shared" si="328"/>
        <v>9.3522165722950241</v>
      </c>
      <c r="Y550" s="160">
        <f t="shared" si="329"/>
        <v>-1.4636649948396152</v>
      </c>
      <c r="Z550" s="98" t="str">
        <f t="shared" si="319"/>
        <v>-30.0411258481899+19.5336229105732i</v>
      </c>
      <c r="AA550" s="160">
        <f t="shared" si="330"/>
        <v>35.83338759089424</v>
      </c>
      <c r="AB550" s="160">
        <f t="shared" si="331"/>
        <v>2.565056192128762</v>
      </c>
      <c r="AC550" s="171" t="str">
        <f t="shared" si="332"/>
        <v>-0.00938280034758347+0.0118811071060221i</v>
      </c>
      <c r="AD550" s="190">
        <f t="shared" si="333"/>
        <v>-36.39789842552166</v>
      </c>
      <c r="AE550" s="169">
        <f t="shared" si="334"/>
        <v>128.29901201067872</v>
      </c>
      <c r="AF550" s="98" t="str">
        <f t="shared" si="320"/>
        <v>-0.0000673063927557778</v>
      </c>
      <c r="AG550" s="98" t="str">
        <f t="shared" si="321"/>
        <v>0.13216701308041i</v>
      </c>
      <c r="AH550" s="98">
        <f t="shared" si="335"/>
        <v>0.13216701308041001</v>
      </c>
      <c r="AI550" s="98">
        <f t="shared" si="336"/>
        <v>1.5707963267948966</v>
      </c>
      <c r="AJ550" s="98" t="str">
        <f t="shared" si="322"/>
        <v>1+132.995465303575i</v>
      </c>
      <c r="AK550" s="98">
        <f t="shared" si="337"/>
        <v>132.99922477711823</v>
      </c>
      <c r="AL550" s="98">
        <f t="shared" si="338"/>
        <v>1.5632774151314885</v>
      </c>
      <c r="AM550" s="98" t="str">
        <f t="shared" si="323"/>
        <v>1+19691.1521275939i</v>
      </c>
      <c r="AN550" s="98">
        <f t="shared" si="339"/>
        <v>19691.152152986015</v>
      </c>
      <c r="AO550" s="98">
        <f t="shared" si="340"/>
        <v>1.5707455425648698</v>
      </c>
      <c r="AP550" s="168" t="str">
        <f t="shared" si="341"/>
        <v>-0.000563070716418477+0.0753951045115683i</v>
      </c>
      <c r="AQ550" s="98">
        <f t="shared" si="342"/>
        <v>-22.452894827823226</v>
      </c>
      <c r="AR550" s="169">
        <f t="shared" si="343"/>
        <v>90.427892182798615</v>
      </c>
      <c r="AS550" s="168" t="str">
        <f t="shared" si="344"/>
        <v>-0.000890494131857948-0.000714107116307268i</v>
      </c>
      <c r="AT550" s="190">
        <f t="shared" si="345"/>
        <v>-58.850793253344882</v>
      </c>
      <c r="AU550" s="169">
        <f t="shared" si="346"/>
        <v>-141.27309580652266</v>
      </c>
      <c r="AV550" s="225"/>
      <c r="AX550">
        <f t="shared" si="347"/>
        <v>0</v>
      </c>
      <c r="AY550">
        <f t="shared" si="348"/>
        <v>0</v>
      </c>
    </row>
    <row r="551" spans="14:51" x14ac:dyDescent="0.25">
      <c r="N551" s="170">
        <v>33</v>
      </c>
      <c r="O551" s="199">
        <f t="shared" si="314"/>
        <v>2137962.0895022359</v>
      </c>
      <c r="P551" s="189" t="str">
        <f t="shared" si="315"/>
        <v>87</v>
      </c>
      <c r="Q551" s="160" t="str">
        <f t="shared" si="316"/>
        <v>1+100749.089910506i</v>
      </c>
      <c r="R551" s="160">
        <f t="shared" si="324"/>
        <v>100749.08991546882</v>
      </c>
      <c r="S551" s="160">
        <f t="shared" si="325"/>
        <v>1.5707864011469244</v>
      </c>
      <c r="T551" s="160" t="str">
        <f t="shared" si="317"/>
        <v>1+67.166059940337i</v>
      </c>
      <c r="U551" s="160">
        <f t="shared" si="326"/>
        <v>67.173503763827469</v>
      </c>
      <c r="V551" s="160">
        <f t="shared" si="327"/>
        <v>1.5559089547821847</v>
      </c>
      <c r="W551" s="98" t="str">
        <f t="shared" si="318"/>
        <v>1-9.51519182488109i</v>
      </c>
      <c r="X551" s="160">
        <f t="shared" si="328"/>
        <v>9.5675950721319669</v>
      </c>
      <c r="Y551" s="160">
        <f t="shared" si="329"/>
        <v>-1.4660856109147569</v>
      </c>
      <c r="Z551" s="98" t="str">
        <f t="shared" si="319"/>
        <v>-31.5040490392802+19.9886194382443i</v>
      </c>
      <c r="AA551" s="160">
        <f t="shared" si="330"/>
        <v>37.310186449766363</v>
      </c>
      <c r="AB551" s="160">
        <f t="shared" si="331"/>
        <v>2.5762068610369826</v>
      </c>
      <c r="AC551" s="171" t="str">
        <f t="shared" si="332"/>
        <v>-0.0090637132439049+0.0117944537172772i</v>
      </c>
      <c r="AD551" s="190">
        <f t="shared" si="333"/>
        <v>-36.550970207790108</v>
      </c>
      <c r="AE551" s="169">
        <f t="shared" si="334"/>
        <v>127.54128691302873</v>
      </c>
      <c r="AF551" s="98" t="str">
        <f t="shared" si="320"/>
        <v>-0.0000673063927557778</v>
      </c>
      <c r="AG551" s="98" t="str">
        <f t="shared" si="321"/>
        <v>0.135245578295863i</v>
      </c>
      <c r="AH551" s="98">
        <f t="shared" si="335"/>
        <v>0.13524557829586301</v>
      </c>
      <c r="AI551" s="98">
        <f t="shared" si="336"/>
        <v>1.5707963267948966</v>
      </c>
      <c r="AJ551" s="98" t="str">
        <f t="shared" si="322"/>
        <v>1+136.093327650266i</v>
      </c>
      <c r="AK551" s="98">
        <f t="shared" si="337"/>
        <v>136.09700155008065</v>
      </c>
      <c r="AL551" s="98">
        <f t="shared" si="338"/>
        <v>1.5634485602243919</v>
      </c>
      <c r="AM551" s="98" t="str">
        <f t="shared" si="323"/>
        <v>1+20149.8179821011i</v>
      </c>
      <c r="AN551" s="98">
        <f t="shared" si="339"/>
        <v>20149.818006915222</v>
      </c>
      <c r="AO551" s="98">
        <f t="shared" si="340"/>
        <v>1.5707466985550749</v>
      </c>
      <c r="AP551" s="168" t="str">
        <f t="shared" si="341"/>
        <v>-0.000537729727786374+0.0736790886095783i</v>
      </c>
      <c r="AQ551" s="98">
        <f t="shared" si="342"/>
        <v>-22.652883778112901</v>
      </c>
      <c r="AR551" s="169">
        <f t="shared" si="343"/>
        <v>90.418152524650779</v>
      </c>
      <c r="AS551" s="168" t="str">
        <f t="shared" si="344"/>
        <v>-0.000864130772481458-0.000674148359616258i</v>
      </c>
      <c r="AT551" s="190">
        <f t="shared" si="345"/>
        <v>-59.203853985903017</v>
      </c>
      <c r="AU551" s="169">
        <f t="shared" si="346"/>
        <v>-142.04056056232048</v>
      </c>
      <c r="AV551" s="225"/>
      <c r="AX551">
        <f t="shared" si="347"/>
        <v>0</v>
      </c>
      <c r="AY551">
        <f t="shared" si="348"/>
        <v>0</v>
      </c>
    </row>
    <row r="552" spans="14:51" x14ac:dyDescent="0.25">
      <c r="N552" s="170">
        <v>34</v>
      </c>
      <c r="O552" s="199">
        <f t="shared" si="314"/>
        <v>2187761.6239495561</v>
      </c>
      <c r="P552" s="189" t="str">
        <f t="shared" si="315"/>
        <v>87</v>
      </c>
      <c r="Q552" s="160" t="str">
        <f t="shared" si="316"/>
        <v>1+103095.837684084i</v>
      </c>
      <c r="R552" s="160">
        <f t="shared" si="324"/>
        <v>103095.83768893388</v>
      </c>
      <c r="S552" s="160">
        <f t="shared" si="325"/>
        <v>1.5707866270822561</v>
      </c>
      <c r="T552" s="160" t="str">
        <f t="shared" si="317"/>
        <v>1+68.730558456056i</v>
      </c>
      <c r="U552" s="160">
        <f t="shared" si="326"/>
        <v>68.737832855577651</v>
      </c>
      <c r="V552" s="160">
        <f t="shared" si="327"/>
        <v>1.5562477843691647</v>
      </c>
      <c r="W552" s="98" t="str">
        <f t="shared" si="318"/>
        <v>1-9.73682911460795i</v>
      </c>
      <c r="X552" s="160">
        <f t="shared" si="328"/>
        <v>9.7880458318847818</v>
      </c>
      <c r="Y552" s="160">
        <f t="shared" si="329"/>
        <v>-1.468452317698056</v>
      </c>
      <c r="Z552" s="98" t="str">
        <f t="shared" si="319"/>
        <v>-33.0359176762767+20.4542141965223i</v>
      </c>
      <c r="AA552" s="160">
        <f t="shared" si="330"/>
        <v>38.855459527728478</v>
      </c>
      <c r="AB552" s="160">
        <f t="shared" si="331"/>
        <v>2.5872105805530534</v>
      </c>
      <c r="AC552" s="171" t="str">
        <f t="shared" si="332"/>
        <v>-0.00875199983654644+0.0117013308119095i</v>
      </c>
      <c r="AD552" s="190">
        <f t="shared" si="333"/>
        <v>-36.705641974860967</v>
      </c>
      <c r="AE552" s="169">
        <f t="shared" si="334"/>
        <v>126.7946184759514</v>
      </c>
      <c r="AF552" s="98" t="str">
        <f t="shared" si="320"/>
        <v>-0.0000673063927557778</v>
      </c>
      <c r="AG552" s="98" t="str">
        <f t="shared" si="321"/>
        <v>0.138395852507114i</v>
      </c>
      <c r="AH552" s="98">
        <f t="shared" si="335"/>
        <v>0.138395852507114</v>
      </c>
      <c r="AI552" s="98">
        <f t="shared" si="336"/>
        <v>1.5707963267948966</v>
      </c>
      <c r="AJ552" s="98" t="str">
        <f t="shared" si="322"/>
        <v>1+139.263348480686i</v>
      </c>
      <c r="AK552" s="98">
        <f t="shared" si="337"/>
        <v>139.26693875451195</v>
      </c>
      <c r="AL552" s="98">
        <f t="shared" si="338"/>
        <v>1.5636158099952993</v>
      </c>
      <c r="AM552" s="98" t="str">
        <f t="shared" si="323"/>
        <v>1+20619.1675368168i</v>
      </c>
      <c r="AN552" s="98">
        <f t="shared" si="339"/>
        <v>20619.167561066079</v>
      </c>
      <c r="AO552" s="98">
        <f t="shared" si="340"/>
        <v>1.5707478282317306</v>
      </c>
      <c r="AP552" s="168" t="str">
        <f t="shared" si="341"/>
        <v>-0.000513529151139619+0.0720021215710153i</v>
      </c>
      <c r="AQ552" s="98">
        <f t="shared" si="342"/>
        <v>-22.852873225695205</v>
      </c>
      <c r="AR552" s="169">
        <f t="shared" si="343"/>
        <v>90.408634544357852</v>
      </c>
      <c r="AS552" s="168" t="str">
        <f t="shared" si="344"/>
        <v>-0.000838026236614939-0.000636171530699567i</v>
      </c>
      <c r="AT552" s="190">
        <f t="shared" si="345"/>
        <v>-59.558515200556172</v>
      </c>
      <c r="AU552" s="169">
        <f t="shared" si="346"/>
        <v>-142.79674697969071</v>
      </c>
      <c r="AV552" s="225"/>
      <c r="AX552">
        <f t="shared" si="347"/>
        <v>0</v>
      </c>
      <c r="AY552">
        <f t="shared" si="348"/>
        <v>0</v>
      </c>
    </row>
    <row r="553" spans="14:51" x14ac:dyDescent="0.25">
      <c r="N553" s="170">
        <v>35</v>
      </c>
      <c r="O553" s="199">
        <f t="shared" si="314"/>
        <v>2238721.1385683389</v>
      </c>
      <c r="P553" s="189" t="str">
        <f t="shared" si="315"/>
        <v>87</v>
      </c>
      <c r="Q553" s="160" t="str">
        <f t="shared" si="316"/>
        <v>1+105497.248235437i</v>
      </c>
      <c r="R553" s="160">
        <f t="shared" si="324"/>
        <v>105497.24824017646</v>
      </c>
      <c r="S553" s="160">
        <f t="shared" si="325"/>
        <v>1.5707868478746718</v>
      </c>
      <c r="T553" s="160" t="str">
        <f t="shared" si="317"/>
        <v>1+70.3314988236245i</v>
      </c>
      <c r="U553" s="160">
        <f t="shared" si="326"/>
        <v>70.338607654527067</v>
      </c>
      <c r="V553" s="160">
        <f t="shared" si="327"/>
        <v>1.5565789044812635</v>
      </c>
      <c r="W553" s="98" t="str">
        <f t="shared" si="318"/>
        <v>1-9.96362900001349i</v>
      </c>
      <c r="X553" s="160">
        <f t="shared" si="328"/>
        <v>10.013685777470243</v>
      </c>
      <c r="Y553" s="160">
        <f t="shared" si="329"/>
        <v>-1.4707662639377235</v>
      </c>
      <c r="Z553" s="98" t="str">
        <f t="shared" si="319"/>
        <v>-34.6399810579393+20.9306540499107i</v>
      </c>
      <c r="AA553" s="160">
        <f t="shared" si="330"/>
        <v>40.472466772503957</v>
      </c>
      <c r="AB553" s="160">
        <f t="shared" si="331"/>
        <v>2.5980657381216079</v>
      </c>
      <c r="AC553" s="171" t="str">
        <f t="shared" si="332"/>
        <v>-0.00844773301722981+0.0116021454559765i</v>
      </c>
      <c r="AD553" s="190">
        <f t="shared" si="333"/>
        <v>-36.861876553367722</v>
      </c>
      <c r="AE553" s="169">
        <f t="shared" si="334"/>
        <v>126.05904354223219</v>
      </c>
      <c r="AF553" s="98" t="str">
        <f t="shared" si="320"/>
        <v>-0.0000673063927557778</v>
      </c>
      <c r="AG553" s="98" t="str">
        <f t="shared" si="321"/>
        <v>0.141619506031251i</v>
      </c>
      <c r="AH553" s="98">
        <f t="shared" si="335"/>
        <v>0.14161950603125101</v>
      </c>
      <c r="AI553" s="98">
        <f t="shared" si="336"/>
        <v>1.5707963267948966</v>
      </c>
      <c r="AJ553" s="98" t="str">
        <f t="shared" si="322"/>
        <v>1+142.507208581837i</v>
      </c>
      <c r="AK553" s="98">
        <f t="shared" si="337"/>
        <v>142.51071713308863</v>
      </c>
      <c r="AL553" s="98">
        <f t="shared" si="338"/>
        <v>1.563779253084804</v>
      </c>
      <c r="AM553" s="98" t="str">
        <f t="shared" si="323"/>
        <v>1+21099.4496470873i</v>
      </c>
      <c r="AN553" s="98">
        <f t="shared" si="339"/>
        <v>21099.449670784597</v>
      </c>
      <c r="AO553" s="98">
        <f t="shared" si="340"/>
        <v>1.5707489321938062</v>
      </c>
      <c r="AP553" s="168" t="str">
        <f t="shared" si="341"/>
        <v>-0.000490417670075271+0.0703633153646096i</v>
      </c>
      <c r="AQ553" s="98">
        <f t="shared" si="342"/>
        <v>-23.052863148190625</v>
      </c>
      <c r="AR553" s="169">
        <f t="shared" si="343"/>
        <v>90.399333197506323</v>
      </c>
      <c r="AS553" s="168" t="str">
        <f t="shared" si="344"/>
        <v>-0.000812222502081219-0.00060010039954976i</v>
      </c>
      <c r="AT553" s="190">
        <f t="shared" si="345"/>
        <v>-59.914739701558346</v>
      </c>
      <c r="AU553" s="169">
        <f t="shared" si="346"/>
        <v>-143.5416232602615</v>
      </c>
      <c r="AV553" s="225"/>
      <c r="AX553">
        <f t="shared" si="347"/>
        <v>0</v>
      </c>
      <c r="AY553">
        <f t="shared" si="348"/>
        <v>0</v>
      </c>
    </row>
    <row r="554" spans="14:51" x14ac:dyDescent="0.25">
      <c r="N554" s="170">
        <v>36</v>
      </c>
      <c r="O554" s="199">
        <f t="shared" si="314"/>
        <v>2290867.6527677765</v>
      </c>
      <c r="P554" s="189" t="str">
        <f t="shared" si="315"/>
        <v>87</v>
      </c>
      <c r="Q554" s="160" t="str">
        <f t="shared" si="316"/>
        <v>1+107954.594824227i</v>
      </c>
      <c r="R554" s="160">
        <f t="shared" si="324"/>
        <v>107954.59482885858</v>
      </c>
      <c r="S554" s="160">
        <f t="shared" si="325"/>
        <v>1.5707870636412384</v>
      </c>
      <c r="T554" s="160" t="str">
        <f t="shared" si="317"/>
        <v>1+71.9697298828175i</v>
      </c>
      <c r="U554" s="160">
        <f t="shared" si="326"/>
        <v>71.97667691277303</v>
      </c>
      <c r="V554" s="160">
        <f t="shared" si="327"/>
        <v>1.5569024903921476</v>
      </c>
      <c r="W554" s="98" t="str">
        <f t="shared" si="318"/>
        <v>1-10.1957117333992i</v>
      </c>
      <c r="X554" s="160">
        <f t="shared" si="328"/>
        <v>10.244634583555147</v>
      </c>
      <c r="Y554" s="160">
        <f t="shared" si="329"/>
        <v>-1.4730285773470266</v>
      </c>
      <c r="Z554" s="98" t="str">
        <f t="shared" si="319"/>
        <v>-36.3196416177621+21.4181916131265i</v>
      </c>
      <c r="AA554" s="160">
        <f t="shared" si="330"/>
        <v>42.164621416766913</v>
      </c>
      <c r="AB554" s="160">
        <f t="shared" si="331"/>
        <v>2.608770914962832</v>
      </c>
      <c r="AC554" s="171" t="str">
        <f t="shared" si="332"/>
        <v>-0.00815096594901725+0.0114972985573631i</v>
      </c>
      <c r="AD554" s="190">
        <f t="shared" si="333"/>
        <v>-37.019636408643422</v>
      </c>
      <c r="AE554" s="169">
        <f t="shared" si="334"/>
        <v>125.33458882448994</v>
      </c>
      <c r="AF554" s="98" t="str">
        <f t="shared" si="320"/>
        <v>-0.0000673063927557778</v>
      </c>
      <c r="AG554" s="98" t="str">
        <f t="shared" si="321"/>
        <v>0.144918248092041i</v>
      </c>
      <c r="AH554" s="98">
        <f t="shared" si="335"/>
        <v>0.14491824809204101</v>
      </c>
      <c r="AI554" s="98">
        <f t="shared" si="336"/>
        <v>1.5707963267948966</v>
      </c>
      <c r="AJ554" s="98" t="str">
        <f t="shared" si="322"/>
        <v>1+145.826627891287i</v>
      </c>
      <c r="AK554" s="98">
        <f t="shared" si="337"/>
        <v>145.83005658006132</v>
      </c>
      <c r="AL554" s="98">
        <f t="shared" si="338"/>
        <v>1.5639389761176465</v>
      </c>
      <c r="AM554" s="98" t="str">
        <f t="shared" si="323"/>
        <v>1+21590.9189648452i</v>
      </c>
      <c r="AN554" s="98">
        <f t="shared" si="339"/>
        <v>21590.918988003083</v>
      </c>
      <c r="AO554" s="98">
        <f t="shared" si="340"/>
        <v>1.5707500110266372</v>
      </c>
      <c r="AP554" s="168" t="str">
        <f t="shared" si="341"/>
        <v>-0.000468346276877144+0.0687618021178035i</v>
      </c>
      <c r="AQ554" s="98">
        <f t="shared" si="342"/>
        <v>-23.252853524226694</v>
      </c>
      <c r="AR554" s="169">
        <f t="shared" si="343"/>
        <v>90.390243554401437</v>
      </c>
      <c r="AS554" s="168" t="str">
        <f t="shared" si="344"/>
        <v>-0.000786757493735534-0.000565859824628765i</v>
      </c>
      <c r="AT554" s="190">
        <f t="shared" si="345"/>
        <v>-60.272489932870116</v>
      </c>
      <c r="AU554" s="169">
        <f t="shared" si="346"/>
        <v>-144.27516762110858</v>
      </c>
      <c r="AV554" s="225"/>
      <c r="AX554">
        <f t="shared" si="347"/>
        <v>0</v>
      </c>
      <c r="AY554">
        <f t="shared" si="348"/>
        <v>0</v>
      </c>
    </row>
    <row r="555" spans="14:51" x14ac:dyDescent="0.25">
      <c r="N555" s="170">
        <v>37</v>
      </c>
      <c r="O555" s="199">
        <f t="shared" si="314"/>
        <v>2344228.8153199251</v>
      </c>
      <c r="P555" s="189" t="str">
        <f t="shared" si="315"/>
        <v>87</v>
      </c>
      <c r="Q555" s="160" t="str">
        <f t="shared" si="316"/>
        <v>1+110469.180368139i</v>
      </c>
      <c r="R555" s="160">
        <f t="shared" si="324"/>
        <v>110469.18037266516</v>
      </c>
      <c r="S555" s="160">
        <f t="shared" si="325"/>
        <v>1.5707872744963582</v>
      </c>
      <c r="T555" s="160" t="str">
        <f t="shared" si="317"/>
        <v>1+73.646120245426i</v>
      </c>
      <c r="U555" s="160">
        <f t="shared" si="326"/>
        <v>73.652909156419241</v>
      </c>
      <c r="V555" s="160">
        <f t="shared" si="327"/>
        <v>1.5572187134001387</v>
      </c>
      <c r="W555" s="98" t="str">
        <f t="shared" si="318"/>
        <v>1-10.433200368102i</v>
      </c>
      <c r="X555" s="160">
        <f t="shared" si="328"/>
        <v>10.481014737179015</v>
      </c>
      <c r="Y555" s="160">
        <f t="shared" si="329"/>
        <v>-1.4752403647543528</v>
      </c>
      <c r="Z555" s="98" t="str">
        <f t="shared" si="319"/>
        <v>-38.0784621409871+21.9170853850388i</v>
      </c>
      <c r="AA555" s="160">
        <f t="shared" si="330"/>
        <v>43.935497161152838</v>
      </c>
      <c r="AB555" s="160">
        <f t="shared" si="331"/>
        <v>2.6193248830143636</v>
      </c>
      <c r="AC555" s="171" t="str">
        <f t="shared" si="332"/>
        <v>-0.0078617329102798+0.0113871838506793i</v>
      </c>
      <c r="AD555" s="190">
        <f t="shared" si="333"/>
        <v>-37.17888374523541</v>
      </c>
      <c r="AE555" s="169">
        <f t="shared" si="334"/>
        <v>124.62127107703553</v>
      </c>
      <c r="AF555" s="98" t="str">
        <f t="shared" si="320"/>
        <v>-0.0000673063927557778</v>
      </c>
      <c r="AG555" s="98" t="str">
        <f t="shared" si="321"/>
        <v>0.148293827726189i</v>
      </c>
      <c r="AH555" s="98">
        <f t="shared" si="335"/>
        <v>0.14829382772618899</v>
      </c>
      <c r="AI555" s="98">
        <f t="shared" si="336"/>
        <v>1.5707963267948966</v>
      </c>
      <c r="AJ555" s="98" t="str">
        <f t="shared" si="322"/>
        <v>1+149.223366409087i</v>
      </c>
      <c r="AK555" s="98">
        <f t="shared" si="337"/>
        <v>149.22671705314914</v>
      </c>
      <c r="AL555" s="98">
        <f t="shared" si="338"/>
        <v>1.5640950637484758</v>
      </c>
      <c r="AM555" s="98" t="str">
        <f t="shared" si="323"/>
        <v>1+22093.8360736278i</v>
      </c>
      <c r="AN555" s="98">
        <f t="shared" si="339"/>
        <v>22093.836096258547</v>
      </c>
      <c r="AO555" s="98">
        <f t="shared" si="340"/>
        <v>1.5707510653022347</v>
      </c>
      <c r="AP555" s="168" t="str">
        <f t="shared" si="341"/>
        <v>-0.000447268168689812+0.0671967336615781i</v>
      </c>
      <c r="AQ555" s="98">
        <f t="shared" si="342"/>
        <v>-23.452844333392466</v>
      </c>
      <c r="AR555" s="169">
        <f t="shared" si="343"/>
        <v>90.381360797462904</v>
      </c>
      <c r="AS555" s="168" t="str">
        <f t="shared" si="344"/>
        <v>-0.000761665257488011-0.000533375897357963i</v>
      </c>
      <c r="AT555" s="190">
        <f t="shared" si="345"/>
        <v>-60.63172807862788</v>
      </c>
      <c r="AU555" s="169">
        <f t="shared" si="346"/>
        <v>-144.99736812550154</v>
      </c>
      <c r="AV555" s="225"/>
      <c r="AX555">
        <f t="shared" si="347"/>
        <v>0</v>
      </c>
      <c r="AY555">
        <f t="shared" si="348"/>
        <v>0</v>
      </c>
    </row>
    <row r="556" spans="14:51" x14ac:dyDescent="0.25">
      <c r="N556" s="170">
        <v>38</v>
      </c>
      <c r="O556" s="199">
        <f t="shared" si="314"/>
        <v>2398832.9190194933</v>
      </c>
      <c r="P556" s="189" t="str">
        <f t="shared" si="315"/>
        <v>87</v>
      </c>
      <c r="Q556" s="160" t="str">
        <f t="shared" si="316"/>
        <v>1+113042.338133715i</v>
      </c>
      <c r="R556" s="160">
        <f t="shared" si="324"/>
        <v>113042.33813813813</v>
      </c>
      <c r="S556" s="160">
        <f t="shared" si="325"/>
        <v>1.5707874805518298</v>
      </c>
      <c r="T556" s="160" t="str">
        <f t="shared" si="317"/>
        <v>1+75.36155875581i</v>
      </c>
      <c r="U556" s="160">
        <f t="shared" si="326"/>
        <v>75.368193146083868</v>
      </c>
      <c r="V556" s="160">
        <f t="shared" si="327"/>
        <v>1.557527740917745</v>
      </c>
      <c r="W556" s="98" t="str">
        <f t="shared" si="318"/>
        <v>1-10.6762208237398i</v>
      </c>
      <c r="X556" s="160">
        <f t="shared" si="328"/>
        <v>10.72295160285895</v>
      </c>
      <c r="Y556" s="160">
        <f t="shared" si="329"/>
        <v>-1.4774027122704791</v>
      </c>
      <c r="Z556" s="98" t="str">
        <f t="shared" si="319"/>
        <v>-39.9201733217536+22.4275998857291i</v>
      </c>
      <c r="AA556" s="160">
        <f t="shared" si="330"/>
        <v>45.788835699034799</v>
      </c>
      <c r="AB556" s="160">
        <f t="shared" si="331"/>
        <v>2.6297266012884339</v>
      </c>
      <c r="AC556" s="171" t="str">
        <f t="shared" si="332"/>
        <v>-0.00758005018668733+0.0112721869755455i</v>
      </c>
      <c r="AD556" s="190">
        <f t="shared" si="333"/>
        <v>-37.339580602944601</v>
      </c>
      <c r="AE556" s="169">
        <f t="shared" si="334"/>
        <v>123.91909730013589</v>
      </c>
      <c r="AF556" s="98" t="str">
        <f t="shared" si="320"/>
        <v>-0.0000673063927557778</v>
      </c>
      <c r="AG556" s="98" t="str">
        <f t="shared" si="321"/>
        <v>0.151748034710699i</v>
      </c>
      <c r="AH556" s="98">
        <f t="shared" si="335"/>
        <v>0.151748034710699</v>
      </c>
      <c r="AI556" s="98">
        <f t="shared" si="336"/>
        <v>1.5707963267948966</v>
      </c>
      <c r="AJ556" s="98" t="str">
        <f t="shared" si="322"/>
        <v>1+152.699225130962i</v>
      </c>
      <c r="AK556" s="98">
        <f t="shared" si="337"/>
        <v>152.70249950670819</v>
      </c>
      <c r="AL556" s="98">
        <f t="shared" si="338"/>
        <v>1.5642475987065803</v>
      </c>
      <c r="AM556" s="98" t="str">
        <f t="shared" si="323"/>
        <v>1+22608.467626743i</v>
      </c>
      <c r="AN556" s="98">
        <f t="shared" si="339"/>
        <v>22608.467648858608</v>
      </c>
      <c r="AO556" s="98">
        <f t="shared" si="340"/>
        <v>1.5707520955795902</v>
      </c>
      <c r="AP556" s="168" t="str">
        <f t="shared" si="341"/>
        <v>-0.000427138648358213+0.0656672810853875i</v>
      </c>
      <c r="AQ556" s="98">
        <f t="shared" si="342"/>
        <v>-23.652835556195903</v>
      </c>
      <c r="AR556" s="169">
        <f t="shared" si="343"/>
        <v>90.372680218679506</v>
      </c>
      <c r="AS556" s="168" t="str">
        <f t="shared" si="344"/>
        <v>-0.000736976138178961-0.000502576072959316i</v>
      </c>
      <c r="AT556" s="190">
        <f t="shared" si="345"/>
        <v>-60.992416159140504</v>
      </c>
      <c r="AU556" s="169">
        <f t="shared" si="346"/>
        <v>-145.70822248118461</v>
      </c>
      <c r="AV556" s="225"/>
      <c r="AX556">
        <f t="shared" si="347"/>
        <v>0</v>
      </c>
      <c r="AY556">
        <f t="shared" si="348"/>
        <v>0</v>
      </c>
    </row>
    <row r="557" spans="14:51" x14ac:dyDescent="0.25">
      <c r="N557" s="170">
        <v>39</v>
      </c>
      <c r="O557" s="199">
        <f t="shared" si="314"/>
        <v>2454708.915685033</v>
      </c>
      <c r="P557" s="189" t="str">
        <f t="shared" si="315"/>
        <v>87</v>
      </c>
      <c r="Q557" s="160" t="str">
        <f t="shared" si="316"/>
        <v>1+115675.432443262i</v>
      </c>
      <c r="R557" s="160">
        <f t="shared" si="324"/>
        <v>115675.43244758445</v>
      </c>
      <c r="S557" s="160">
        <f t="shared" si="325"/>
        <v>1.570787681916906</v>
      </c>
      <c r="T557" s="160" t="str">
        <f t="shared" si="317"/>
        <v>1+77.1169549621745i</v>
      </c>
      <c r="U557" s="160">
        <f t="shared" si="326"/>
        <v>77.123438348131558</v>
      </c>
      <c r="V557" s="160">
        <f t="shared" si="327"/>
        <v>1.5578297365592195</v>
      </c>
      <c r="W557" s="98" t="str">
        <f t="shared" si="318"/>
        <v>1-10.9249019529747i</v>
      </c>
      <c r="X557" s="160">
        <f t="shared" si="328"/>
        <v>10.970573489207863</v>
      </c>
      <c r="Y557" s="160">
        <f t="shared" si="329"/>
        <v>-1.4795166854713877</v>
      </c>
      <c r="Z557" s="98" t="str">
        <f t="shared" si="319"/>
        <v>-41.8486816763989+22.9500057967431i</v>
      </c>
      <c r="AA557" s="160">
        <f t="shared" si="330"/>
        <v>47.728554599140196</v>
      </c>
      <c r="AB557" s="160">
        <f t="shared" si="331"/>
        <v>2.6399752116993018</v>
      </c>
      <c r="AC557" s="171" t="str">
        <f t="shared" si="332"/>
        <v>-0.00730591700146845+0.0111526846488085i</v>
      </c>
      <c r="AD557" s="190">
        <f t="shared" si="333"/>
        <v>-37.501688948162268</v>
      </c>
      <c r="AE557" s="169">
        <f t="shared" si="334"/>
        <v>123.22806497362241</v>
      </c>
      <c r="AF557" s="98" t="str">
        <f t="shared" si="320"/>
        <v>-0.0000673063927557778</v>
      </c>
      <c r="AG557" s="98" t="str">
        <f t="shared" si="321"/>
        <v>0.155282700511835i</v>
      </c>
      <c r="AH557" s="98">
        <f t="shared" si="335"/>
        <v>0.15528270051183499</v>
      </c>
      <c r="AI557" s="98">
        <f t="shared" si="336"/>
        <v>1.5707963267948966</v>
      </c>
      <c r="AJ557" s="98" t="str">
        <f t="shared" si="322"/>
        <v>1+156.256047003214i</v>
      </c>
      <c r="AK557" s="98">
        <f t="shared" si="337"/>
        <v>156.25924684661265</v>
      </c>
      <c r="AL557" s="98">
        <f t="shared" si="338"/>
        <v>1.564396661839605</v>
      </c>
      <c r="AM557" s="98" t="str">
        <f t="shared" si="323"/>
        <v>1+23135.0864886523i</v>
      </c>
      <c r="AN557" s="98">
        <f t="shared" si="339"/>
        <v>23135.086510264493</v>
      </c>
      <c r="AO557" s="98">
        <f t="shared" si="340"/>
        <v>1.5707531024049697</v>
      </c>
      <c r="AP557" s="168" t="str">
        <f t="shared" si="341"/>
        <v>-0.000407915029723789+0.0641726343020063i</v>
      </c>
      <c r="AQ557" s="98">
        <f t="shared" si="342"/>
        <v>-23.852827174021609</v>
      </c>
      <c r="AR557" s="169">
        <f t="shared" si="343"/>
        <v>90.364197217121145</v>
      </c>
      <c r="AS557" s="168" t="str">
        <f t="shared" si="344"/>
        <v>-0.000712716960102774-0.000473389287666064i</v>
      </c>
      <c r="AT557" s="190">
        <f t="shared" si="345"/>
        <v>-61.354516122183881</v>
      </c>
      <c r="AU557" s="169">
        <f t="shared" si="346"/>
        <v>-146.40773780925642</v>
      </c>
      <c r="AV557" s="225"/>
      <c r="AX557">
        <f t="shared" si="347"/>
        <v>0</v>
      </c>
      <c r="AY557">
        <f t="shared" si="348"/>
        <v>0</v>
      </c>
    </row>
    <row r="558" spans="14:51" x14ac:dyDescent="0.25">
      <c r="N558" s="170">
        <v>40</v>
      </c>
      <c r="O558" s="199">
        <f t="shared" si="314"/>
        <v>2511886.431509587</v>
      </c>
      <c r="P558" s="189" t="str">
        <f t="shared" si="315"/>
        <v>87</v>
      </c>
      <c r="Q558" s="160" t="str">
        <f t="shared" si="316"/>
        <v>1+118369.859398236i</v>
      </c>
      <c r="R558" s="160">
        <f t="shared" si="324"/>
        <v>118369.85940246006</v>
      </c>
      <c r="S558" s="160">
        <f t="shared" si="325"/>
        <v>1.5707878786983536</v>
      </c>
      <c r="T558" s="160" t="str">
        <f t="shared" si="317"/>
        <v>1+78.913239598824i</v>
      </c>
      <c r="U558" s="160">
        <f t="shared" si="326"/>
        <v>78.919575416885039</v>
      </c>
      <c r="V558" s="160">
        <f t="shared" si="327"/>
        <v>1.5581248602261828</v>
      </c>
      <c r="W558" s="98" t="str">
        <f t="shared" si="318"/>
        <v>1-11.1793756098334i</v>
      </c>
      <c r="X558" s="160">
        <f t="shared" si="328"/>
        <v>11.224011717106228</v>
      </c>
      <c r="Y558" s="160">
        <f t="shared" si="329"/>
        <v>-1.4815833295951391</v>
      </c>
      <c r="Z558" s="98" t="str">
        <f t="shared" si="319"/>
        <v>-43.868077829703+23.48458010461i</v>
      </c>
      <c r="AA558" s="160">
        <f t="shared" si="330"/>
        <v>49.758755562842637</v>
      </c>
      <c r="AB558" s="160">
        <f t="shared" si="331"/>
        <v>2.6500700344163199</v>
      </c>
      <c r="AC558" s="171" t="str">
        <f t="shared" si="332"/>
        <v>-0.00703931647457041+0.0110290439302657i</v>
      </c>
      <c r="AD558" s="190">
        <f t="shared" si="333"/>
        <v>-37.665170760328877</v>
      </c>
      <c r="AE558" s="169">
        <f t="shared" si="334"/>
        <v>122.54816231676307</v>
      </c>
      <c r="AF558" s="98" t="str">
        <f t="shared" si="320"/>
        <v>-0.0000673063927557778</v>
      </c>
      <c r="AG558" s="98" t="str">
        <f t="shared" si="321"/>
        <v>0.158899699256192i</v>
      </c>
      <c r="AH558" s="98">
        <f t="shared" si="335"/>
        <v>0.15889969925619199</v>
      </c>
      <c r="AI558" s="98">
        <f t="shared" si="336"/>
        <v>1.5707963267948966</v>
      </c>
      <c r="AJ558" s="98" t="str">
        <f t="shared" si="322"/>
        <v>1+159.895717899882i</v>
      </c>
      <c r="AK558" s="98">
        <f t="shared" si="337"/>
        <v>159.8988449073934</v>
      </c>
      <c r="AL558" s="98">
        <f t="shared" si="338"/>
        <v>1.5645423321562837</v>
      </c>
      <c r="AM558" s="98" t="str">
        <f t="shared" si="323"/>
        <v>1+23673.9718796472i</v>
      </c>
      <c r="AN558" s="98">
        <f t="shared" si="339"/>
        <v>23673.971900767439</v>
      </c>
      <c r="AO558" s="98">
        <f t="shared" si="340"/>
        <v>1.5707540863122058</v>
      </c>
      <c r="AP558" s="168" t="str">
        <f t="shared" si="341"/>
        <v>-0.000389556547176864+0.0627120016220543i</v>
      </c>
      <c r="AQ558" s="98">
        <f t="shared" si="342"/>
        <v>-24.052819169092245</v>
      </c>
      <c r="AR558" s="169">
        <f t="shared" si="343"/>
        <v>90.355907296507183</v>
      </c>
      <c r="AS558" s="168" t="str">
        <f t="shared" si="344"/>
        <v>-0.000688911209024212-0.000445746062443549i</v>
      </c>
      <c r="AT558" s="190">
        <f t="shared" si="345"/>
        <v>-61.717989929421115</v>
      </c>
      <c r="AU558" s="169">
        <f t="shared" si="346"/>
        <v>-147.09593038672978</v>
      </c>
      <c r="AV558" s="225"/>
      <c r="AX558">
        <f t="shared" si="347"/>
        <v>0</v>
      </c>
      <c r="AY558">
        <f t="shared" si="348"/>
        <v>0</v>
      </c>
    </row>
    <row r="559" spans="14:51" x14ac:dyDescent="0.25">
      <c r="N559" s="170">
        <v>41</v>
      </c>
      <c r="O559" s="199">
        <f t="shared" si="314"/>
        <v>2570395.782768866</v>
      </c>
      <c r="P559" s="189" t="str">
        <f t="shared" si="315"/>
        <v>87</v>
      </c>
      <c r="Q559" s="160" t="str">
        <f t="shared" si="316"/>
        <v>1+121127.047619473i</v>
      </c>
      <c r="R559" s="160">
        <f t="shared" si="324"/>
        <v>121127.04762360088</v>
      </c>
      <c r="S559" s="160">
        <f t="shared" si="325"/>
        <v>1.5707880710005087</v>
      </c>
      <c r="T559" s="160" t="str">
        <f t="shared" si="317"/>
        <v>1+80.7513650796485i</v>
      </c>
      <c r="U559" s="160">
        <f t="shared" si="326"/>
        <v>80.757556688068973</v>
      </c>
      <c r="V559" s="160">
        <f t="shared" si="327"/>
        <v>1.5584132681913541</v>
      </c>
      <c r="W559" s="98" t="str">
        <f t="shared" si="318"/>
        <v>1-11.4397767196169i</v>
      </c>
      <c r="X559" s="160">
        <f t="shared" si="328"/>
        <v>11.483400689459931</v>
      </c>
      <c r="Y559" s="160">
        <f t="shared" si="329"/>
        <v>-1.4836036697513497</v>
      </c>
      <c r="Z559" s="98" t="str">
        <f t="shared" si="319"/>
        <v>-45.9826451916515+24.0316062477034i</v>
      </c>
      <c r="AA559" s="160">
        <f t="shared" si="330"/>
        <v>51.883733073729076</v>
      </c>
      <c r="AB559" s="160">
        <f t="shared" si="331"/>
        <v>2.6600105627974244</v>
      </c>
      <c r="AC559" s="171" t="str">
        <f t="shared" si="332"/>
        <v>-0.00678021660181681+0.0109016215805986i</v>
      </c>
      <c r="AD559" s="190">
        <f t="shared" si="333"/>
        <v>-37.829988113388737</v>
      </c>
      <c r="AE559" s="169">
        <f t="shared" si="334"/>
        <v>121.87936857134443</v>
      </c>
      <c r="AF559" s="98" t="str">
        <f t="shared" si="320"/>
        <v>-0.0000673063927557778</v>
      </c>
      <c r="AG559" s="98" t="str">
        <f t="shared" si="321"/>
        <v>0.16260094872438i</v>
      </c>
      <c r="AH559" s="98">
        <f t="shared" si="335"/>
        <v>0.16260094872438</v>
      </c>
      <c r="AI559" s="98">
        <f t="shared" si="336"/>
        <v>1.5707963267948966</v>
      </c>
      <c r="AJ559" s="98" t="str">
        <f t="shared" si="322"/>
        <v>1+163.620167622649i</v>
      </c>
      <c r="AK559" s="98">
        <f t="shared" si="337"/>
        <v>163.62322345212419</v>
      </c>
      <c r="AL559" s="98">
        <f t="shared" si="338"/>
        <v>1.5646846868682036</v>
      </c>
      <c r="AM559" s="98" t="str">
        <f t="shared" si="323"/>
        <v>1+24225.4095238945i</v>
      </c>
      <c r="AN559" s="98">
        <f t="shared" si="339"/>
        <v>24225.409544533984</v>
      </c>
      <c r="AO559" s="98">
        <f t="shared" si="340"/>
        <v>1.5707550478229788</v>
      </c>
      <c r="AP559" s="168" t="str">
        <f t="shared" si="341"/>
        <v>-0.00037202426927447+0.0612846093380167i</v>
      </c>
      <c r="AQ559" s="98">
        <f t="shared" si="342"/>
        <v>-24.252811524430204</v>
      </c>
      <c r="AR559" s="169">
        <f t="shared" si="343"/>
        <v>90.347806062829633</v>
      </c>
      <c r="AS559" s="168" t="str">
        <f t="shared" si="344"/>
        <v>-0.000665579214591064-0.000419578593471907i</v>
      </c>
      <c r="AT559" s="190">
        <f t="shared" si="345"/>
        <v>-62.082799637818937</v>
      </c>
      <c r="AU559" s="169">
        <f t="shared" si="346"/>
        <v>-147.77282536582598</v>
      </c>
      <c r="AV559" s="225"/>
      <c r="AX559">
        <f t="shared" si="347"/>
        <v>0</v>
      </c>
      <c r="AY559">
        <f t="shared" si="348"/>
        <v>0</v>
      </c>
    </row>
    <row r="560" spans="14:51" ht="15.75" thickBot="1" x14ac:dyDescent="0.3">
      <c r="N560" s="170">
        <v>42</v>
      </c>
      <c r="O560" s="199">
        <f t="shared" si="314"/>
        <v>2630267.9918953842</v>
      </c>
      <c r="P560" s="189" t="str">
        <f t="shared" si="315"/>
        <v>87</v>
      </c>
      <c r="Q560" s="160" t="str">
        <f t="shared" si="316"/>
        <v>1+123948.459004664i</v>
      </c>
      <c r="R560" s="160">
        <f t="shared" si="324"/>
        <v>123948.45900869793</v>
      </c>
      <c r="S560" s="160">
        <f t="shared" si="325"/>
        <v>1.5707882589253321</v>
      </c>
      <c r="T560" s="160" t="str">
        <f t="shared" si="317"/>
        <v>1+82.632306003109i</v>
      </c>
      <c r="U560" s="160">
        <f t="shared" si="326"/>
        <v>82.638356683754552</v>
      </c>
      <c r="V560" s="160">
        <f t="shared" si="327"/>
        <v>1.5586951131804274</v>
      </c>
      <c r="W560" s="98" t="str">
        <f t="shared" si="318"/>
        <v>1-11.7062433504405i</v>
      </c>
      <c r="X560" s="160">
        <f t="shared" si="328"/>
        <v>11.748877962585723</v>
      </c>
      <c r="Y560" s="160">
        <f t="shared" si="329"/>
        <v>-1.4855787111419787</v>
      </c>
      <c r="Z560" s="98" t="str">
        <f t="shared" si="319"/>
        <v>-48.1968690431245+24.5913742665252i</v>
      </c>
      <c r="AA560" s="160">
        <f t="shared" si="330"/>
        <v>54.10798345786332</v>
      </c>
      <c r="AB560" s="160">
        <f t="shared" si="331"/>
        <v>2.6697964579568447</v>
      </c>
      <c r="AC560" s="196" t="str">
        <f t="shared" si="332"/>
        <v>-0.00652857124570157+0.0107707635094469i</v>
      </c>
      <c r="AD560" s="197">
        <f t="shared" si="333"/>
        <v>-37.996103252153858</v>
      </c>
      <c r="AE560" s="198">
        <f t="shared" si="334"/>
        <v>121.22165430495704</v>
      </c>
      <c r="AF560" s="98" t="str">
        <f t="shared" si="320"/>
        <v>-0.0000673063927557778</v>
      </c>
      <c r="AG560" s="98" t="str">
        <f t="shared" si="321"/>
        <v>0.166388411367861i</v>
      </c>
      <c r="AH560" s="98">
        <f t="shared" si="335"/>
        <v>0.16638841136786101</v>
      </c>
      <c r="AI560" s="98">
        <f t="shared" si="336"/>
        <v>1.5707963267948966</v>
      </c>
      <c r="AJ560" s="98" t="str">
        <f t="shared" si="322"/>
        <v>1+167.431370924059i</v>
      </c>
      <c r="AK560" s="98">
        <f t="shared" si="337"/>
        <v>167.43435719561808</v>
      </c>
      <c r="AL560" s="98">
        <f t="shared" si="338"/>
        <v>1.5648238014306253</v>
      </c>
      <c r="AM560" s="98" t="str">
        <f t="shared" si="323"/>
        <v>1+24789.6918009327i</v>
      </c>
      <c r="AN560" s="98">
        <f t="shared" si="339"/>
        <v>24789.691821102369</v>
      </c>
      <c r="AO560" s="98">
        <f t="shared" si="340"/>
        <v>1.5707559874470949</v>
      </c>
      <c r="AP560" s="191" t="str">
        <f t="shared" si="341"/>
        <v>-0.000355281016240932+0.0598897013175381i</v>
      </c>
      <c r="AQ560" s="195">
        <f t="shared" si="342"/>
        <v>-24.452804223822163</v>
      </c>
      <c r="AR560" s="198">
        <f t="shared" si="343"/>
        <v>90.339889222030223</v>
      </c>
      <c r="AS560" s="191" t="str">
        <f t="shared" si="344"/>
        <v>-0.000642738332115839-0.000394820829740662i</v>
      </c>
      <c r="AT560" s="197">
        <f t="shared" si="345"/>
        <v>-62.448907475976021</v>
      </c>
      <c r="AU560" s="198">
        <f t="shared" si="346"/>
        <v>-148.43845647301271</v>
      </c>
      <c r="AV560" s="225"/>
    </row>
    <row r="561" spans="14:30" x14ac:dyDescent="0.25">
      <c r="N561" s="170"/>
      <c r="P561" s="189"/>
      <c r="Q561" s="160"/>
      <c r="R561" s="160"/>
      <c r="S561" s="160"/>
      <c r="T561" s="160"/>
      <c r="U561" s="160"/>
      <c r="V561" s="160"/>
      <c r="X561" s="160"/>
      <c r="Y561" s="160"/>
      <c r="AA561" s="160"/>
      <c r="AB561" s="160"/>
      <c r="AC561" s="160"/>
      <c r="AD561" s="190"/>
    </row>
    <row r="562" spans="14:30" x14ac:dyDescent="0.25">
      <c r="N562" s="170"/>
      <c r="P562" s="189"/>
      <c r="Q562" s="160"/>
      <c r="R562" s="160"/>
      <c r="S562" s="160"/>
      <c r="T562" s="160"/>
      <c r="U562" s="160"/>
      <c r="V562" s="160"/>
      <c r="X562" s="160"/>
      <c r="Y562" s="160"/>
      <c r="AA562" s="160"/>
      <c r="AB562" s="160"/>
      <c r="AC562" s="160"/>
      <c r="AD562" s="190"/>
    </row>
    <row r="563" spans="14:30" x14ac:dyDescent="0.25">
      <c r="N563" s="170"/>
      <c r="P563" s="189"/>
      <c r="Q563" s="160"/>
      <c r="R563" s="160"/>
      <c r="S563" s="160"/>
      <c r="T563" s="160"/>
      <c r="U563" s="160"/>
      <c r="V563" s="160"/>
      <c r="X563" s="160"/>
      <c r="Y563" s="160"/>
      <c r="AA563" s="160"/>
      <c r="AB563" s="160"/>
      <c r="AC563" s="160"/>
      <c r="AD563" s="190"/>
    </row>
    <row r="564" spans="14:30" x14ac:dyDescent="0.25">
      <c r="N564" s="170"/>
      <c r="P564" s="189"/>
      <c r="Q564" s="160"/>
      <c r="R564" s="160"/>
      <c r="S564" s="160"/>
      <c r="T564" s="160"/>
      <c r="U564" s="160"/>
      <c r="V564" s="160"/>
      <c r="X564" s="160"/>
      <c r="Y564" s="160"/>
      <c r="AA564" s="160"/>
      <c r="AB564" s="160"/>
      <c r="AC564" s="160"/>
      <c r="AD564" s="190"/>
    </row>
    <row r="565" spans="14:30" x14ac:dyDescent="0.25">
      <c r="N565" s="170"/>
      <c r="P565" s="189"/>
      <c r="Q565" s="160"/>
      <c r="R565" s="160"/>
      <c r="S565" s="160"/>
      <c r="T565" s="160"/>
      <c r="U565" s="160"/>
      <c r="V565" s="160"/>
      <c r="X565" s="160"/>
      <c r="Y565" s="160"/>
      <c r="AA565" s="160"/>
      <c r="AB565" s="160"/>
      <c r="AC565" s="160"/>
      <c r="AD565" s="190"/>
    </row>
    <row r="566" spans="14:30" x14ac:dyDescent="0.25">
      <c r="N566" s="170"/>
      <c r="P566" s="189"/>
      <c r="Q566" s="160"/>
      <c r="R566" s="160"/>
      <c r="S566" s="160"/>
      <c r="T566" s="160"/>
      <c r="U566" s="160"/>
      <c r="V566" s="160"/>
      <c r="X566" s="160"/>
      <c r="Y566" s="160"/>
      <c r="AA566" s="160"/>
      <c r="AB566" s="160"/>
      <c r="AC566" s="160"/>
      <c r="AD566" s="190"/>
    </row>
    <row r="567" spans="14:30" x14ac:dyDescent="0.25">
      <c r="N567" s="170"/>
      <c r="P567" s="189"/>
      <c r="Q567" s="160"/>
      <c r="R567" s="160"/>
      <c r="S567" s="160"/>
      <c r="T567" s="160"/>
      <c r="U567" s="160"/>
      <c r="V567" s="160"/>
      <c r="X567" s="160"/>
      <c r="Y567" s="160"/>
      <c r="AA567" s="160"/>
      <c r="AB567" s="160"/>
      <c r="AC567" s="160"/>
      <c r="AD567" s="190"/>
    </row>
    <row r="568" spans="14:30" x14ac:dyDescent="0.25">
      <c r="N568" s="170"/>
      <c r="P568" s="189"/>
      <c r="Q568" s="160"/>
      <c r="R568" s="160"/>
      <c r="S568" s="160"/>
      <c r="T568" s="160"/>
      <c r="U568" s="160"/>
      <c r="V568" s="160"/>
      <c r="X568" s="160"/>
      <c r="Y568" s="160"/>
      <c r="AA568" s="160"/>
      <c r="AB568" s="160"/>
      <c r="AC568" s="160"/>
      <c r="AD568" s="190"/>
    </row>
    <row r="569" spans="14:30" x14ac:dyDescent="0.25">
      <c r="N569" s="170"/>
      <c r="P569" s="189"/>
      <c r="Q569" s="160"/>
      <c r="R569" s="160"/>
      <c r="S569" s="160"/>
      <c r="T569" s="160"/>
      <c r="U569" s="160"/>
      <c r="V569" s="160"/>
      <c r="X569" s="160"/>
      <c r="Y569" s="160"/>
      <c r="AA569" s="160"/>
      <c r="AB569" s="160"/>
      <c r="AC569" s="160"/>
      <c r="AD569" s="190"/>
    </row>
    <row r="570" spans="14:30" x14ac:dyDescent="0.25">
      <c r="N570" s="170"/>
      <c r="P570" s="189"/>
      <c r="Q570" s="160"/>
      <c r="R570" s="160"/>
      <c r="S570" s="160"/>
      <c r="T570" s="160"/>
      <c r="U570" s="160"/>
      <c r="V570" s="160"/>
      <c r="X570" s="160"/>
      <c r="Y570" s="160"/>
      <c r="AA570" s="160"/>
      <c r="AB570" s="160"/>
      <c r="AC570" s="160"/>
      <c r="AD570" s="190"/>
    </row>
    <row r="571" spans="14:30" x14ac:dyDescent="0.25">
      <c r="N571" s="170"/>
      <c r="P571" s="189"/>
      <c r="Q571" s="160"/>
      <c r="R571" s="160"/>
      <c r="S571" s="160"/>
      <c r="T571" s="160"/>
      <c r="U571" s="160"/>
      <c r="V571" s="160"/>
      <c r="X571" s="160"/>
      <c r="Y571" s="160"/>
      <c r="AA571" s="160"/>
      <c r="AB571" s="160"/>
      <c r="AC571" s="160"/>
      <c r="AD571" s="190"/>
    </row>
    <row r="572" spans="14:30" x14ac:dyDescent="0.25">
      <c r="N572" s="170"/>
      <c r="P572" s="189"/>
      <c r="Q572" s="160"/>
      <c r="R572" s="160"/>
      <c r="S572" s="160"/>
      <c r="T572" s="160"/>
      <c r="U572" s="160"/>
      <c r="V572" s="160"/>
      <c r="X572" s="160"/>
      <c r="Y572" s="160"/>
      <c r="AA572" s="160"/>
      <c r="AB572" s="160"/>
      <c r="AC572" s="160"/>
      <c r="AD572" s="190"/>
    </row>
    <row r="573" spans="14:30" x14ac:dyDescent="0.25">
      <c r="N573" s="170"/>
      <c r="P573" s="189"/>
      <c r="Q573" s="160"/>
      <c r="R573" s="160"/>
      <c r="S573" s="160"/>
      <c r="T573" s="160"/>
      <c r="U573" s="160"/>
      <c r="V573" s="160"/>
      <c r="X573" s="160"/>
      <c r="Y573" s="160"/>
      <c r="AA573" s="160"/>
      <c r="AB573" s="160"/>
      <c r="AC573" s="160"/>
      <c r="AD573" s="190"/>
    </row>
    <row r="574" spans="14:30" x14ac:dyDescent="0.25">
      <c r="N574" s="170"/>
      <c r="P574" s="189"/>
      <c r="Q574" s="160"/>
      <c r="R574" s="160"/>
      <c r="S574" s="160"/>
      <c r="T574" s="160"/>
      <c r="U574" s="160"/>
      <c r="V574" s="160"/>
      <c r="X574" s="160"/>
      <c r="Y574" s="160"/>
      <c r="AA574" s="160"/>
      <c r="AB574" s="160"/>
      <c r="AC574" s="160"/>
      <c r="AD574" s="190"/>
    </row>
    <row r="575" spans="14:30" x14ac:dyDescent="0.25">
      <c r="N575" s="170"/>
      <c r="P575" s="189"/>
      <c r="Q575" s="160"/>
      <c r="R575" s="160"/>
      <c r="S575" s="160"/>
      <c r="T575" s="160"/>
      <c r="U575" s="160"/>
      <c r="V575" s="160"/>
      <c r="X575" s="160"/>
      <c r="Y575" s="160"/>
      <c r="AA575" s="160"/>
      <c r="AB575" s="160"/>
      <c r="AC575" s="160"/>
      <c r="AD575" s="190"/>
    </row>
    <row r="576" spans="14:30" x14ac:dyDescent="0.25">
      <c r="N576" s="170"/>
      <c r="P576" s="189"/>
      <c r="Q576" s="160"/>
      <c r="R576" s="160"/>
      <c r="S576" s="160"/>
      <c r="T576" s="160"/>
      <c r="U576" s="160"/>
      <c r="V576" s="160"/>
      <c r="X576" s="160"/>
      <c r="Y576" s="160"/>
      <c r="AA576" s="160"/>
      <c r="AB576" s="160"/>
      <c r="AC576" s="160"/>
      <c r="AD576" s="190"/>
    </row>
    <row r="577" spans="14:30" x14ac:dyDescent="0.25">
      <c r="N577" s="170"/>
      <c r="P577" s="189"/>
      <c r="Q577" s="160"/>
      <c r="R577" s="160"/>
      <c r="S577" s="160"/>
      <c r="T577" s="160"/>
      <c r="U577" s="160"/>
      <c r="V577" s="160"/>
      <c r="X577" s="160"/>
      <c r="Y577" s="160"/>
      <c r="AA577" s="160"/>
      <c r="AB577" s="160"/>
      <c r="AC577" s="160"/>
      <c r="AD577" s="190"/>
    </row>
    <row r="578" spans="14:30" x14ac:dyDescent="0.25">
      <c r="N578" s="170"/>
      <c r="P578" s="189"/>
      <c r="Q578" s="160"/>
      <c r="R578" s="160"/>
      <c r="S578" s="160"/>
      <c r="T578" s="160"/>
      <c r="U578" s="160"/>
      <c r="V578" s="160"/>
      <c r="X578" s="160"/>
      <c r="Y578" s="160"/>
      <c r="AA578" s="160"/>
      <c r="AB578" s="160"/>
      <c r="AC578" s="160"/>
      <c r="AD578" s="190"/>
    </row>
    <row r="579" spans="14:30" x14ac:dyDescent="0.25">
      <c r="N579" s="170"/>
      <c r="P579" s="189"/>
      <c r="Q579" s="160"/>
      <c r="R579" s="160"/>
      <c r="S579" s="160"/>
      <c r="T579" s="160"/>
      <c r="U579" s="160"/>
      <c r="V579" s="160"/>
      <c r="X579" s="160"/>
      <c r="Y579" s="160"/>
      <c r="AA579" s="160"/>
      <c r="AB579" s="160"/>
      <c r="AC579" s="160"/>
      <c r="AD579" s="190"/>
    </row>
    <row r="580" spans="14:30" x14ac:dyDescent="0.25">
      <c r="N580" s="170"/>
      <c r="P580" s="189"/>
      <c r="Q580" s="160"/>
      <c r="R580" s="160"/>
      <c r="S580" s="160"/>
      <c r="T580" s="160"/>
      <c r="U580" s="160"/>
      <c r="V580" s="160"/>
      <c r="X580" s="160"/>
      <c r="Y580" s="160"/>
      <c r="AA580" s="160"/>
      <c r="AB580" s="160"/>
      <c r="AC580" s="160"/>
      <c r="AD580" s="190"/>
    </row>
    <row r="581" spans="14:30" x14ac:dyDescent="0.25">
      <c r="N581" s="170"/>
      <c r="P581" s="189"/>
      <c r="Q581" s="160"/>
      <c r="R581" s="160"/>
      <c r="S581" s="160"/>
      <c r="T581" s="160"/>
      <c r="U581" s="160"/>
      <c r="V581" s="160"/>
      <c r="X581" s="160"/>
      <c r="Y581" s="160"/>
      <c r="AA581" s="160"/>
      <c r="AB581" s="160"/>
      <c r="AC581" s="160"/>
      <c r="AD581" s="190"/>
    </row>
    <row r="582" spans="14:30" x14ac:dyDescent="0.25">
      <c r="N582" s="170"/>
      <c r="P582" s="189"/>
      <c r="Q582" s="160"/>
      <c r="R582" s="160"/>
      <c r="S582" s="160"/>
      <c r="T582" s="160"/>
      <c r="U582" s="160"/>
      <c r="V582" s="160"/>
      <c r="X582" s="160"/>
      <c r="Y582" s="160"/>
      <c r="AA582" s="160"/>
      <c r="AB582" s="160"/>
      <c r="AC582" s="160"/>
      <c r="AD582" s="190"/>
    </row>
    <row r="583" spans="14:30" x14ac:dyDescent="0.25">
      <c r="N583" s="170"/>
      <c r="P583" s="189"/>
      <c r="Q583" s="160"/>
      <c r="R583" s="160"/>
      <c r="S583" s="160"/>
      <c r="T583" s="160"/>
      <c r="U583" s="160"/>
      <c r="V583" s="160"/>
      <c r="X583" s="160"/>
      <c r="Y583" s="160"/>
      <c r="AA583" s="160"/>
      <c r="AB583" s="160"/>
      <c r="AC583" s="160"/>
      <c r="AD583" s="190"/>
    </row>
    <row r="584" spans="14:30" x14ac:dyDescent="0.25">
      <c r="N584" s="170"/>
      <c r="P584" s="189"/>
      <c r="Q584" s="160"/>
      <c r="R584" s="160"/>
      <c r="S584" s="160"/>
      <c r="T584" s="160"/>
      <c r="U584" s="160"/>
      <c r="V584" s="160"/>
      <c r="X584" s="160"/>
      <c r="Y584" s="160"/>
      <c r="AA584" s="160"/>
      <c r="AB584" s="160"/>
      <c r="AC584" s="160"/>
      <c r="AD584" s="190"/>
    </row>
    <row r="585" spans="14:30" x14ac:dyDescent="0.25">
      <c r="N585" s="170"/>
      <c r="P585" s="189"/>
      <c r="Q585" s="160"/>
      <c r="R585" s="160"/>
      <c r="S585" s="160"/>
      <c r="T585" s="160"/>
      <c r="U585" s="160"/>
      <c r="V585" s="160"/>
      <c r="X585" s="160"/>
      <c r="Y585" s="160"/>
      <c r="AA585" s="160"/>
      <c r="AB585" s="160"/>
      <c r="AC585" s="160"/>
      <c r="AD585" s="190"/>
    </row>
    <row r="586" spans="14:30" x14ac:dyDescent="0.25">
      <c r="N586" s="170"/>
      <c r="P586" s="189"/>
      <c r="Q586" s="160"/>
      <c r="R586" s="160"/>
      <c r="S586" s="160"/>
      <c r="T586" s="160"/>
      <c r="U586" s="160"/>
      <c r="V586" s="160"/>
      <c r="X586" s="160"/>
      <c r="Y586" s="160"/>
      <c r="AA586" s="160"/>
      <c r="AB586" s="160"/>
      <c r="AC586" s="160"/>
      <c r="AD586" s="190"/>
    </row>
    <row r="587" spans="14:30" x14ac:dyDescent="0.25">
      <c r="N587" s="170"/>
      <c r="P587" s="189"/>
      <c r="Q587" s="160"/>
      <c r="R587" s="160"/>
      <c r="S587" s="160"/>
      <c r="T587" s="160"/>
      <c r="U587" s="160"/>
      <c r="V587" s="160"/>
      <c r="X587" s="160"/>
      <c r="Y587" s="160"/>
      <c r="AA587" s="160"/>
      <c r="AB587" s="160"/>
      <c r="AC587" s="160"/>
      <c r="AD587" s="190"/>
    </row>
    <row r="588" spans="14:30" x14ac:dyDescent="0.25">
      <c r="N588" s="170"/>
      <c r="P588" s="189"/>
      <c r="Q588" s="160"/>
      <c r="R588" s="160"/>
      <c r="S588" s="160"/>
      <c r="T588" s="160"/>
      <c r="U588" s="160"/>
      <c r="V588" s="160"/>
      <c r="X588" s="160"/>
      <c r="Y588" s="160"/>
      <c r="AA588" s="160"/>
      <c r="AB588" s="160"/>
      <c r="AC588" s="160"/>
      <c r="AD588" s="190"/>
    </row>
    <row r="589" spans="14:30" x14ac:dyDescent="0.25">
      <c r="N589" s="170"/>
      <c r="P589" s="189"/>
      <c r="Q589" s="160"/>
      <c r="R589" s="160"/>
      <c r="S589" s="160"/>
      <c r="T589" s="160"/>
      <c r="U589" s="160"/>
      <c r="V589" s="160"/>
      <c r="X589" s="160"/>
      <c r="Y589" s="160"/>
      <c r="AA589" s="160"/>
      <c r="AB589" s="160"/>
      <c r="AC589" s="160"/>
      <c r="AD589" s="190"/>
    </row>
    <row r="590" spans="14:30" x14ac:dyDescent="0.25">
      <c r="N590" s="170"/>
      <c r="P590" s="189"/>
      <c r="Q590" s="160"/>
      <c r="R590" s="160"/>
      <c r="S590" s="160"/>
      <c r="T590" s="160"/>
      <c r="U590" s="160"/>
      <c r="V590" s="160"/>
      <c r="X590" s="160"/>
      <c r="Y590" s="160"/>
      <c r="AA590" s="160"/>
      <c r="AB590" s="160"/>
      <c r="AC590" s="160"/>
      <c r="AD590" s="190"/>
    </row>
    <row r="591" spans="14:30" x14ac:dyDescent="0.25">
      <c r="N591" s="170"/>
      <c r="P591" s="189"/>
      <c r="Q591" s="160"/>
      <c r="R591" s="160"/>
      <c r="S591" s="160"/>
      <c r="T591" s="160"/>
      <c r="U591" s="160"/>
      <c r="V591" s="160"/>
      <c r="X591" s="160"/>
      <c r="Y591" s="160"/>
      <c r="AA591" s="160"/>
      <c r="AB591" s="160"/>
      <c r="AC591" s="160"/>
      <c r="AD591" s="190"/>
    </row>
    <row r="592" spans="14:30" x14ac:dyDescent="0.25">
      <c r="N592" s="170"/>
      <c r="P592" s="189"/>
      <c r="Q592" s="160"/>
      <c r="R592" s="160"/>
      <c r="S592" s="160"/>
      <c r="T592" s="160"/>
      <c r="U592" s="160"/>
      <c r="V592" s="160"/>
      <c r="X592" s="160"/>
      <c r="Y592" s="160"/>
      <c r="AA592" s="160"/>
      <c r="AB592" s="160"/>
      <c r="AC592" s="160"/>
      <c r="AD592" s="190"/>
    </row>
    <row r="593" spans="14:30" x14ac:dyDescent="0.25">
      <c r="N593" s="170"/>
      <c r="P593" s="189"/>
      <c r="Q593" s="160"/>
      <c r="R593" s="160"/>
      <c r="S593" s="160"/>
      <c r="T593" s="160"/>
      <c r="U593" s="160"/>
      <c r="V593" s="160"/>
      <c r="X593" s="160"/>
      <c r="Y593" s="160"/>
      <c r="AA593" s="160"/>
      <c r="AB593" s="160"/>
      <c r="AC593" s="160"/>
      <c r="AD593" s="190"/>
    </row>
    <row r="594" spans="14:30" x14ac:dyDescent="0.25">
      <c r="N594" s="170"/>
      <c r="P594" s="189"/>
      <c r="Q594" s="160"/>
      <c r="R594" s="160"/>
      <c r="S594" s="160"/>
      <c r="T594" s="160"/>
      <c r="U594" s="160"/>
      <c r="V594" s="160"/>
      <c r="X594" s="160"/>
      <c r="Y594" s="160"/>
      <c r="AA594" s="160"/>
      <c r="AB594" s="160"/>
      <c r="AC594" s="160"/>
      <c r="AD594" s="190"/>
    </row>
    <row r="595" spans="14:30" x14ac:dyDescent="0.25">
      <c r="N595" s="170"/>
      <c r="P595" s="189"/>
      <c r="Q595" s="160"/>
      <c r="R595" s="160"/>
      <c r="S595" s="160"/>
      <c r="T595" s="160"/>
      <c r="U595" s="160"/>
      <c r="V595" s="160"/>
      <c r="X595" s="160"/>
      <c r="Y595" s="160"/>
      <c r="AA595" s="160"/>
      <c r="AB595" s="160"/>
      <c r="AC595" s="160"/>
      <c r="AD595" s="190"/>
    </row>
    <row r="596" spans="14:30" x14ac:dyDescent="0.25">
      <c r="N596" s="170"/>
      <c r="P596" s="189"/>
      <c r="Q596" s="160"/>
      <c r="R596" s="160"/>
      <c r="S596" s="160"/>
      <c r="T596" s="160"/>
      <c r="U596" s="160"/>
      <c r="V596" s="160"/>
      <c r="X596" s="160"/>
      <c r="Y596" s="160"/>
      <c r="AA596" s="160"/>
      <c r="AB596" s="160"/>
      <c r="AC596" s="160"/>
      <c r="AD596" s="190"/>
    </row>
    <row r="597" spans="14:30" x14ac:dyDescent="0.25">
      <c r="N597" s="170"/>
      <c r="P597" s="189"/>
      <c r="Q597" s="160"/>
      <c r="R597" s="160"/>
      <c r="S597" s="160"/>
      <c r="T597" s="160"/>
      <c r="U597" s="160"/>
      <c r="V597" s="160"/>
      <c r="X597" s="160"/>
      <c r="Y597" s="160"/>
      <c r="AA597" s="160"/>
      <c r="AB597" s="160"/>
      <c r="AC597" s="160"/>
      <c r="AD597" s="190"/>
    </row>
    <row r="598" spans="14:30" x14ac:dyDescent="0.25">
      <c r="N598" s="170"/>
      <c r="P598" s="189"/>
      <c r="Q598" s="160"/>
      <c r="R598" s="160"/>
      <c r="S598" s="160"/>
      <c r="T598" s="160"/>
      <c r="U598" s="160"/>
      <c r="V598" s="160"/>
      <c r="X598" s="160"/>
      <c r="Y598" s="160"/>
      <c r="AA598" s="160"/>
      <c r="AB598" s="160"/>
      <c r="AC598" s="160"/>
      <c r="AD598" s="190"/>
    </row>
    <row r="599" spans="14:30" x14ac:dyDescent="0.25">
      <c r="N599" s="170"/>
      <c r="P599" s="189"/>
      <c r="Q599" s="160"/>
      <c r="R599" s="160"/>
      <c r="S599" s="160"/>
      <c r="T599" s="160"/>
      <c r="U599" s="160"/>
      <c r="V599" s="160"/>
      <c r="X599" s="160"/>
      <c r="Y599" s="160"/>
      <c r="AA599" s="160"/>
      <c r="AB599" s="160"/>
      <c r="AC599" s="160"/>
      <c r="AD599" s="190"/>
    </row>
    <row r="600" spans="14:30" x14ac:dyDescent="0.25">
      <c r="N600" s="170"/>
      <c r="P600" s="189"/>
      <c r="Q600" s="160"/>
      <c r="R600" s="160"/>
      <c r="S600" s="160"/>
      <c r="T600" s="160"/>
      <c r="U600" s="160"/>
      <c r="V600" s="160"/>
      <c r="X600" s="160"/>
      <c r="Y600" s="160"/>
      <c r="AA600" s="160"/>
      <c r="AB600" s="160"/>
      <c r="AC600" s="160"/>
      <c r="AD600" s="190"/>
    </row>
    <row r="601" spans="14:30" x14ac:dyDescent="0.25">
      <c r="N601" s="170"/>
      <c r="P601" s="189"/>
      <c r="Q601" s="160"/>
      <c r="R601" s="160"/>
      <c r="S601" s="160"/>
      <c r="T601" s="160"/>
      <c r="U601" s="160"/>
      <c r="V601" s="160"/>
      <c r="X601" s="160"/>
      <c r="Y601" s="160"/>
      <c r="AA601" s="160"/>
      <c r="AB601" s="160"/>
      <c r="AC601" s="160"/>
      <c r="AD601" s="190"/>
    </row>
    <row r="602" spans="14:30" x14ac:dyDescent="0.25">
      <c r="N602" s="170"/>
      <c r="P602" s="189"/>
      <c r="Q602" s="160"/>
      <c r="R602" s="160"/>
      <c r="S602" s="160"/>
      <c r="T602" s="160"/>
      <c r="U602" s="160"/>
      <c r="V602" s="160"/>
      <c r="X602" s="160"/>
      <c r="Y602" s="160"/>
      <c r="AA602" s="160"/>
      <c r="AB602" s="160"/>
      <c r="AC602" s="160"/>
      <c r="AD602" s="190"/>
    </row>
    <row r="603" spans="14:30" x14ac:dyDescent="0.25">
      <c r="N603" s="170"/>
      <c r="P603" s="189"/>
      <c r="Q603" s="160"/>
      <c r="R603" s="160"/>
      <c r="S603" s="160"/>
      <c r="T603" s="160"/>
      <c r="U603" s="160"/>
      <c r="V603" s="160"/>
      <c r="X603" s="160"/>
      <c r="Y603" s="160"/>
      <c r="AA603" s="160"/>
      <c r="AB603" s="160"/>
      <c r="AC603" s="160"/>
      <c r="AD603" s="190"/>
    </row>
    <row r="604" spans="14:30" x14ac:dyDescent="0.25">
      <c r="N604" s="170"/>
      <c r="P604" s="189"/>
      <c r="Q604" s="160"/>
      <c r="R604" s="160"/>
      <c r="S604" s="160"/>
      <c r="T604" s="160"/>
      <c r="U604" s="160"/>
      <c r="V604" s="160"/>
      <c r="X604" s="160"/>
      <c r="Y604" s="160"/>
      <c r="AA604" s="160"/>
      <c r="AB604" s="160"/>
      <c r="AC604" s="160"/>
      <c r="AD604" s="190"/>
    </row>
    <row r="605" spans="14:30" x14ac:dyDescent="0.25">
      <c r="N605" s="170"/>
      <c r="P605" s="189"/>
      <c r="Q605" s="160"/>
      <c r="R605" s="160"/>
      <c r="S605" s="160"/>
      <c r="T605" s="160"/>
      <c r="U605" s="160"/>
      <c r="V605" s="160"/>
      <c r="X605" s="160"/>
      <c r="Y605" s="160"/>
      <c r="AA605" s="160"/>
      <c r="AB605" s="160"/>
      <c r="AC605" s="160"/>
      <c r="AD605" s="190"/>
    </row>
    <row r="606" spans="14:30" x14ac:dyDescent="0.25">
      <c r="N606" s="170"/>
      <c r="P606" s="189"/>
      <c r="Q606" s="160"/>
      <c r="R606" s="160"/>
      <c r="S606" s="160"/>
      <c r="T606" s="160"/>
      <c r="U606" s="160"/>
      <c r="V606" s="160"/>
      <c r="X606" s="160"/>
      <c r="Y606" s="160"/>
      <c r="AA606" s="160"/>
      <c r="AB606" s="160"/>
      <c r="AC606" s="160"/>
      <c r="AD606" s="190"/>
    </row>
    <row r="607" spans="14:30" x14ac:dyDescent="0.25">
      <c r="N607" s="170"/>
      <c r="P607" s="189"/>
      <c r="Q607" s="160"/>
      <c r="R607" s="160"/>
      <c r="S607" s="160"/>
      <c r="T607" s="160"/>
      <c r="U607" s="160"/>
      <c r="V607" s="160"/>
      <c r="X607" s="160"/>
      <c r="Y607" s="160"/>
      <c r="AA607" s="160"/>
      <c r="AB607" s="160"/>
      <c r="AC607" s="160"/>
      <c r="AD607" s="190"/>
    </row>
    <row r="608" spans="14:30" x14ac:dyDescent="0.25">
      <c r="N608" s="170"/>
      <c r="P608" s="189"/>
      <c r="Q608" s="160"/>
      <c r="R608" s="160"/>
      <c r="S608" s="160"/>
      <c r="T608" s="160"/>
      <c r="U608" s="160"/>
      <c r="V608" s="160"/>
      <c r="X608" s="160"/>
      <c r="Y608" s="160"/>
      <c r="AA608" s="160"/>
      <c r="AB608" s="160"/>
      <c r="AC608" s="160"/>
      <c r="AD608" s="190"/>
    </row>
    <row r="609" spans="14:30" x14ac:dyDescent="0.25">
      <c r="N609" s="170"/>
      <c r="P609" s="189"/>
      <c r="Q609" s="160"/>
      <c r="R609" s="160"/>
      <c r="S609" s="160"/>
      <c r="T609" s="160"/>
      <c r="U609" s="160"/>
      <c r="V609" s="160"/>
      <c r="X609" s="160"/>
      <c r="Y609" s="160"/>
      <c r="AA609" s="160"/>
      <c r="AB609" s="160"/>
      <c r="AC609" s="160"/>
      <c r="AD609" s="190"/>
    </row>
    <row r="610" spans="14:30" x14ac:dyDescent="0.25">
      <c r="N610" s="170"/>
      <c r="P610" s="189"/>
      <c r="Q610" s="160"/>
      <c r="R610" s="160"/>
      <c r="S610" s="160"/>
      <c r="T610" s="160"/>
      <c r="U610" s="160"/>
      <c r="V610" s="160"/>
      <c r="X610" s="160"/>
      <c r="Y610" s="160"/>
      <c r="AA610" s="160"/>
      <c r="AB610" s="160"/>
      <c r="AC610" s="160"/>
      <c r="AD610" s="190"/>
    </row>
    <row r="611" spans="14:30" x14ac:dyDescent="0.25">
      <c r="N611" s="170"/>
      <c r="P611" s="189"/>
      <c r="Q611" s="160"/>
      <c r="R611" s="160"/>
      <c r="S611" s="160"/>
      <c r="T611" s="160"/>
      <c r="U611" s="160"/>
      <c r="V611" s="160"/>
      <c r="X611" s="160"/>
      <c r="Y611" s="160"/>
      <c r="AA611" s="160"/>
      <c r="AB611" s="160"/>
      <c r="AC611" s="160"/>
      <c r="AD611" s="190"/>
    </row>
    <row r="612" spans="14:30" x14ac:dyDescent="0.25">
      <c r="N612" s="170"/>
      <c r="P612" s="189"/>
      <c r="Q612" s="160"/>
      <c r="R612" s="160"/>
      <c r="S612" s="160"/>
      <c r="T612" s="160"/>
      <c r="U612" s="160"/>
      <c r="V612" s="160"/>
      <c r="X612" s="160"/>
      <c r="Y612" s="160"/>
      <c r="AA612" s="160"/>
      <c r="AB612" s="160"/>
      <c r="AC612" s="160"/>
      <c r="AD612" s="190"/>
    </row>
    <row r="613" spans="14:30" x14ac:dyDescent="0.25">
      <c r="N613" s="170"/>
      <c r="P613" s="189"/>
      <c r="Q613" s="160"/>
      <c r="R613" s="160"/>
      <c r="S613" s="160"/>
      <c r="T613" s="160"/>
      <c r="U613" s="160"/>
      <c r="V613" s="160"/>
      <c r="X613" s="160"/>
      <c r="Y613" s="160"/>
      <c r="AA613" s="160"/>
      <c r="AB613" s="160"/>
      <c r="AC613" s="160"/>
      <c r="AD613" s="190"/>
    </row>
    <row r="614" spans="14:30" x14ac:dyDescent="0.25">
      <c r="N614" s="170"/>
      <c r="P614" s="189"/>
      <c r="Q614" s="160"/>
      <c r="R614" s="160"/>
      <c r="S614" s="160"/>
      <c r="T614" s="160"/>
      <c r="U614" s="160"/>
      <c r="V614" s="160"/>
      <c r="X614" s="160"/>
      <c r="Y614" s="160"/>
      <c r="AA614" s="160"/>
      <c r="AB614" s="160"/>
      <c r="AC614" s="160"/>
      <c r="AD614" s="190"/>
    </row>
    <row r="615" spans="14:30" x14ac:dyDescent="0.25">
      <c r="N615" s="170"/>
      <c r="P615" s="189"/>
      <c r="Q615" s="160"/>
      <c r="R615" s="160"/>
      <c r="S615" s="160"/>
      <c r="T615" s="160"/>
      <c r="U615" s="160"/>
      <c r="V615" s="160"/>
      <c r="X615" s="160"/>
      <c r="Y615" s="160"/>
      <c r="AA615" s="160"/>
      <c r="AB615" s="160"/>
      <c r="AC615" s="160"/>
      <c r="AD615" s="190"/>
    </row>
    <row r="616" spans="14:30" x14ac:dyDescent="0.25">
      <c r="N616" s="170"/>
      <c r="P616" s="189"/>
      <c r="Q616" s="160"/>
      <c r="R616" s="160"/>
      <c r="S616" s="160"/>
      <c r="T616" s="160"/>
      <c r="U616" s="160"/>
      <c r="V616" s="160"/>
      <c r="X616" s="160"/>
      <c r="Y616" s="160"/>
      <c r="AA616" s="160"/>
      <c r="AB616" s="160"/>
      <c r="AC616" s="160"/>
      <c r="AD616" s="190"/>
    </row>
    <row r="617" spans="14:30" x14ac:dyDescent="0.25">
      <c r="N617" s="170"/>
      <c r="P617" s="189"/>
      <c r="Q617" s="160"/>
      <c r="R617" s="160"/>
      <c r="S617" s="160"/>
      <c r="T617" s="160"/>
      <c r="U617" s="160"/>
      <c r="V617" s="160"/>
      <c r="X617" s="160"/>
      <c r="Y617" s="160"/>
      <c r="AA617" s="160"/>
      <c r="AB617" s="160"/>
      <c r="AC617" s="160"/>
      <c r="AD617" s="190"/>
    </row>
    <row r="618" spans="14:30" x14ac:dyDescent="0.25">
      <c r="N618" s="170"/>
      <c r="P618" s="189"/>
      <c r="Q618" s="160"/>
      <c r="R618" s="160"/>
      <c r="S618" s="160"/>
      <c r="T618" s="160"/>
      <c r="U618" s="160"/>
      <c r="V618" s="160"/>
      <c r="X618" s="160"/>
      <c r="Y618" s="160"/>
      <c r="AA618" s="160"/>
      <c r="AB618" s="160"/>
      <c r="AC618" s="160"/>
      <c r="AD618" s="190"/>
    </row>
    <row r="619" spans="14:30" x14ac:dyDescent="0.25">
      <c r="N619" s="170"/>
      <c r="P619" s="189"/>
      <c r="Q619" s="160"/>
      <c r="R619" s="160"/>
      <c r="S619" s="160"/>
      <c r="T619" s="160"/>
      <c r="U619" s="160"/>
      <c r="V619" s="160"/>
      <c r="X619" s="160"/>
      <c r="Y619" s="160"/>
      <c r="AA619" s="160"/>
      <c r="AB619" s="160"/>
      <c r="AC619" s="160"/>
      <c r="AD619" s="190"/>
    </row>
    <row r="620" spans="14:30" x14ac:dyDescent="0.25">
      <c r="N620" s="170"/>
      <c r="P620" s="189"/>
      <c r="Q620" s="160"/>
      <c r="R620" s="160"/>
      <c r="S620" s="160"/>
      <c r="T620" s="160"/>
      <c r="U620" s="160"/>
      <c r="V620" s="160"/>
      <c r="X620" s="160"/>
      <c r="Y620" s="160"/>
      <c r="AA620" s="160"/>
      <c r="AB620" s="160"/>
      <c r="AC620" s="160"/>
      <c r="AD620" s="190"/>
    </row>
    <row r="621" spans="14:30" x14ac:dyDescent="0.25">
      <c r="N621" s="170"/>
      <c r="P621" s="189"/>
      <c r="Q621" s="160"/>
      <c r="R621" s="160"/>
      <c r="S621" s="160"/>
      <c r="T621" s="160"/>
      <c r="U621" s="160"/>
      <c r="V621" s="160"/>
      <c r="X621" s="160"/>
      <c r="Y621" s="160"/>
      <c r="AA621" s="160"/>
      <c r="AB621" s="160"/>
      <c r="AC621" s="160"/>
      <c r="AD621" s="190"/>
    </row>
    <row r="622" spans="14:30" x14ac:dyDescent="0.25">
      <c r="N622" s="170"/>
      <c r="P622" s="189"/>
      <c r="Q622" s="160"/>
      <c r="R622" s="160"/>
      <c r="S622" s="160"/>
      <c r="T622" s="160"/>
      <c r="U622" s="160"/>
      <c r="V622" s="160"/>
      <c r="X622" s="160"/>
      <c r="Y622" s="160"/>
      <c r="AA622" s="160"/>
      <c r="AB622" s="160"/>
      <c r="AC622" s="160"/>
      <c r="AD622" s="190"/>
    </row>
    <row r="623" spans="14:30" x14ac:dyDescent="0.25">
      <c r="N623" s="170"/>
      <c r="P623" s="189"/>
      <c r="Q623" s="160"/>
      <c r="R623" s="160"/>
      <c r="S623" s="160"/>
      <c r="T623" s="160"/>
      <c r="U623" s="160"/>
      <c r="V623" s="160"/>
      <c r="X623" s="160"/>
      <c r="Y623" s="160"/>
      <c r="AA623" s="160"/>
      <c r="AB623" s="160"/>
      <c r="AC623" s="160"/>
      <c r="AD623" s="190"/>
    </row>
    <row r="624" spans="14:30" x14ac:dyDescent="0.25">
      <c r="N624" s="170"/>
      <c r="P624" s="189"/>
      <c r="Q624" s="160"/>
      <c r="R624" s="160"/>
      <c r="S624" s="160"/>
      <c r="T624" s="160"/>
      <c r="U624" s="160"/>
      <c r="V624" s="160"/>
      <c r="X624" s="160"/>
      <c r="Y624" s="160"/>
      <c r="AA624" s="160"/>
      <c r="AB624" s="160"/>
      <c r="AC624" s="160"/>
      <c r="AD624" s="190"/>
    </row>
    <row r="625" spans="14:30" x14ac:dyDescent="0.25">
      <c r="N625" s="170"/>
      <c r="P625" s="189"/>
      <c r="Q625" s="160"/>
      <c r="R625" s="160"/>
      <c r="S625" s="160"/>
      <c r="T625" s="160"/>
      <c r="U625" s="160"/>
      <c r="V625" s="160"/>
      <c r="X625" s="160"/>
      <c r="Y625" s="160"/>
      <c r="AA625" s="160"/>
      <c r="AB625" s="160"/>
      <c r="AC625" s="160"/>
      <c r="AD625" s="190"/>
    </row>
    <row r="626" spans="14:30" x14ac:dyDescent="0.25">
      <c r="N626" s="170"/>
      <c r="P626" s="189"/>
      <c r="Q626" s="160"/>
      <c r="R626" s="160"/>
      <c r="S626" s="160"/>
      <c r="T626" s="160"/>
      <c r="U626" s="160"/>
      <c r="V626" s="160"/>
      <c r="X626" s="160"/>
      <c r="Y626" s="160"/>
      <c r="AA626" s="160"/>
      <c r="AB626" s="160"/>
      <c r="AC626" s="160"/>
      <c r="AD626" s="190"/>
    </row>
    <row r="627" spans="14:30" x14ac:dyDescent="0.25">
      <c r="N627" s="170"/>
      <c r="P627" s="189"/>
      <c r="Q627" s="160"/>
      <c r="R627" s="160"/>
      <c r="S627" s="160"/>
      <c r="T627" s="160"/>
      <c r="U627" s="160"/>
      <c r="V627" s="160"/>
      <c r="X627" s="160"/>
      <c r="Y627" s="160"/>
      <c r="AA627" s="160"/>
      <c r="AB627" s="160"/>
      <c r="AC627" s="160"/>
      <c r="AD627" s="190"/>
    </row>
    <row r="628" spans="14:30" x14ac:dyDescent="0.25">
      <c r="N628" s="170"/>
      <c r="P628" s="189"/>
      <c r="Q628" s="160"/>
      <c r="R628" s="160"/>
      <c r="S628" s="160"/>
      <c r="T628" s="160"/>
      <c r="U628" s="160"/>
      <c r="V628" s="160"/>
      <c r="X628" s="160"/>
      <c r="Y628" s="160"/>
      <c r="AA628" s="160"/>
      <c r="AB628" s="160"/>
      <c r="AC628" s="160"/>
      <c r="AD628" s="190"/>
    </row>
    <row r="629" spans="14:30" x14ac:dyDescent="0.25">
      <c r="N629" s="170"/>
      <c r="P629" s="189"/>
      <c r="Q629" s="160"/>
      <c r="R629" s="160"/>
      <c r="S629" s="160"/>
      <c r="T629" s="160"/>
      <c r="U629" s="160"/>
      <c r="V629" s="160"/>
      <c r="X629" s="160"/>
      <c r="Y629" s="160"/>
      <c r="AA629" s="160"/>
      <c r="AB629" s="160"/>
      <c r="AC629" s="160"/>
      <c r="AD629" s="190"/>
    </row>
    <row r="630" spans="14:30" x14ac:dyDescent="0.25">
      <c r="N630" s="170"/>
      <c r="P630" s="189"/>
      <c r="Q630" s="160"/>
      <c r="R630" s="160"/>
      <c r="S630" s="160"/>
      <c r="T630" s="160"/>
      <c r="U630" s="160"/>
      <c r="V630" s="160"/>
      <c r="X630" s="160"/>
      <c r="Y630" s="160"/>
      <c r="AA630" s="160"/>
      <c r="AB630" s="160"/>
      <c r="AC630" s="160"/>
      <c r="AD630" s="190"/>
    </row>
    <row r="631" spans="14:30" x14ac:dyDescent="0.25">
      <c r="N631" s="170"/>
      <c r="P631" s="189"/>
      <c r="Q631" s="160"/>
      <c r="R631" s="160"/>
      <c r="S631" s="160"/>
      <c r="T631" s="160"/>
      <c r="U631" s="160"/>
      <c r="V631" s="160"/>
      <c r="X631" s="160"/>
      <c r="Y631" s="160"/>
      <c r="AA631" s="160"/>
      <c r="AB631" s="160"/>
      <c r="AC631" s="160"/>
      <c r="AD631" s="190"/>
    </row>
    <row r="632" spans="14:30" x14ac:dyDescent="0.25">
      <c r="N632" s="170"/>
      <c r="P632" s="189"/>
      <c r="Q632" s="160"/>
      <c r="R632" s="160"/>
      <c r="S632" s="160"/>
      <c r="T632" s="160"/>
      <c r="U632" s="160"/>
      <c r="V632" s="160"/>
      <c r="X632" s="160"/>
      <c r="Y632" s="160"/>
      <c r="AA632" s="160"/>
      <c r="AB632" s="160"/>
      <c r="AC632" s="160"/>
      <c r="AD632" s="190"/>
    </row>
    <row r="633" spans="14:30" x14ac:dyDescent="0.25">
      <c r="N633" s="170"/>
      <c r="P633" s="189"/>
      <c r="Q633" s="160"/>
      <c r="R633" s="160"/>
      <c r="S633" s="160"/>
      <c r="T633" s="160"/>
      <c r="U633" s="160"/>
      <c r="V633" s="160"/>
      <c r="X633" s="160"/>
      <c r="Y633" s="160"/>
      <c r="AA633" s="160"/>
      <c r="AB633" s="160"/>
      <c r="AC633" s="160"/>
      <c r="AD633" s="190"/>
    </row>
    <row r="634" spans="14:30" x14ac:dyDescent="0.25">
      <c r="N634" s="170"/>
      <c r="P634" s="189"/>
      <c r="Q634" s="160"/>
      <c r="R634" s="160"/>
      <c r="S634" s="160"/>
      <c r="T634" s="160"/>
      <c r="U634" s="160"/>
      <c r="V634" s="160"/>
      <c r="X634" s="160"/>
      <c r="Y634" s="160"/>
      <c r="AA634" s="160"/>
      <c r="AB634" s="160"/>
      <c r="AC634" s="160"/>
      <c r="AD634" s="190"/>
    </row>
    <row r="635" spans="14:30" x14ac:dyDescent="0.25">
      <c r="N635" s="170"/>
      <c r="P635" s="189"/>
      <c r="Q635" s="160"/>
      <c r="R635" s="160"/>
      <c r="S635" s="160"/>
      <c r="T635" s="160"/>
      <c r="U635" s="160"/>
      <c r="V635" s="160"/>
      <c r="X635" s="160"/>
      <c r="Y635" s="160"/>
      <c r="AA635" s="160"/>
      <c r="AB635" s="160"/>
      <c r="AC635" s="160"/>
      <c r="AD635" s="190"/>
    </row>
    <row r="636" spans="14:30" x14ac:dyDescent="0.25">
      <c r="N636" s="170"/>
      <c r="P636" s="189"/>
      <c r="Q636" s="160"/>
      <c r="R636" s="160"/>
      <c r="S636" s="160"/>
      <c r="T636" s="160"/>
      <c r="U636" s="160"/>
      <c r="V636" s="160"/>
      <c r="X636" s="160"/>
      <c r="Y636" s="160"/>
      <c r="AA636" s="160"/>
      <c r="AB636" s="160"/>
      <c r="AC636" s="160"/>
      <c r="AD636" s="190"/>
    </row>
    <row r="637" spans="14:30" x14ac:dyDescent="0.25">
      <c r="N637" s="170"/>
      <c r="P637" s="189"/>
      <c r="Q637" s="160"/>
      <c r="R637" s="160"/>
      <c r="S637" s="160"/>
      <c r="T637" s="160"/>
      <c r="U637" s="160"/>
      <c r="V637" s="160"/>
      <c r="X637" s="160"/>
      <c r="Y637" s="160"/>
      <c r="AA637" s="160"/>
      <c r="AB637" s="160"/>
      <c r="AC637" s="160"/>
      <c r="AD637" s="190"/>
    </row>
    <row r="638" spans="14:30" x14ac:dyDescent="0.25">
      <c r="N638" s="170"/>
      <c r="P638" s="189"/>
      <c r="Q638" s="160"/>
      <c r="R638" s="160"/>
      <c r="S638" s="160"/>
      <c r="T638" s="160"/>
      <c r="U638" s="160"/>
      <c r="V638" s="160"/>
      <c r="X638" s="160"/>
      <c r="Y638" s="160"/>
      <c r="AA638" s="160"/>
      <c r="AB638" s="160"/>
      <c r="AC638" s="160"/>
      <c r="AD638" s="190"/>
    </row>
    <row r="639" spans="14:30" x14ac:dyDescent="0.25">
      <c r="N639" s="170"/>
      <c r="P639" s="189"/>
      <c r="Q639" s="160"/>
      <c r="R639" s="160"/>
      <c r="S639" s="160"/>
      <c r="T639" s="160"/>
      <c r="U639" s="160"/>
      <c r="V639" s="160"/>
      <c r="X639" s="160"/>
      <c r="Y639" s="160"/>
      <c r="AA639" s="160"/>
      <c r="AB639" s="160"/>
      <c r="AC639" s="160"/>
      <c r="AD639" s="190"/>
    </row>
    <row r="640" spans="14:30" x14ac:dyDescent="0.25">
      <c r="N640" s="170"/>
      <c r="P640" s="189"/>
      <c r="Q640" s="160"/>
      <c r="R640" s="160"/>
      <c r="S640" s="160"/>
      <c r="T640" s="160"/>
      <c r="U640" s="160"/>
      <c r="V640" s="160"/>
      <c r="X640" s="160"/>
      <c r="Y640" s="160"/>
      <c r="AA640" s="160"/>
      <c r="AB640" s="160"/>
      <c r="AC640" s="160"/>
      <c r="AD640" s="190"/>
    </row>
    <row r="641" spans="14:30" x14ac:dyDescent="0.25">
      <c r="N641" s="170"/>
      <c r="P641" s="189"/>
      <c r="Q641" s="160"/>
      <c r="R641" s="160"/>
      <c r="S641" s="160"/>
      <c r="T641" s="160"/>
      <c r="U641" s="160"/>
      <c r="V641" s="160"/>
      <c r="X641" s="160"/>
      <c r="Y641" s="160"/>
      <c r="AA641" s="160"/>
      <c r="AB641" s="160"/>
      <c r="AC641" s="160"/>
      <c r="AD641" s="190"/>
    </row>
    <row r="642" spans="14:30" x14ac:dyDescent="0.25">
      <c r="N642" s="170"/>
      <c r="P642" s="189"/>
      <c r="Q642" s="160"/>
      <c r="R642" s="160"/>
      <c r="S642" s="160"/>
      <c r="T642" s="160"/>
      <c r="U642" s="160"/>
      <c r="V642" s="160"/>
      <c r="X642" s="160"/>
      <c r="Y642" s="160"/>
      <c r="AA642" s="160"/>
      <c r="AB642" s="160"/>
      <c r="AC642" s="160"/>
      <c r="AD642" s="190"/>
    </row>
    <row r="643" spans="14:30" x14ac:dyDescent="0.25">
      <c r="N643" s="170"/>
      <c r="P643" s="189"/>
      <c r="Q643" s="160"/>
      <c r="R643" s="160"/>
      <c r="S643" s="160"/>
      <c r="T643" s="160"/>
      <c r="U643" s="160"/>
      <c r="V643" s="160"/>
      <c r="X643" s="160"/>
      <c r="Y643" s="160"/>
      <c r="AA643" s="160"/>
      <c r="AB643" s="160"/>
      <c r="AC643" s="160"/>
      <c r="AD643" s="190"/>
    </row>
    <row r="644" spans="14:30" x14ac:dyDescent="0.25">
      <c r="N644" s="170"/>
      <c r="P644" s="189"/>
      <c r="Q644" s="160"/>
      <c r="R644" s="160"/>
      <c r="S644" s="160"/>
      <c r="T644" s="160"/>
      <c r="U644" s="160"/>
      <c r="V644" s="160"/>
      <c r="X644" s="160"/>
      <c r="Y644" s="160"/>
      <c r="AA644" s="160"/>
      <c r="AB644" s="160"/>
      <c r="AC644" s="160"/>
      <c r="AD644" s="190"/>
    </row>
    <row r="645" spans="14:30" x14ac:dyDescent="0.25">
      <c r="N645" s="170"/>
      <c r="P645" s="189"/>
      <c r="Q645" s="160"/>
      <c r="R645" s="160"/>
      <c r="S645" s="160"/>
      <c r="T645" s="160"/>
      <c r="U645" s="160"/>
      <c r="V645" s="160"/>
      <c r="X645" s="160"/>
      <c r="Y645" s="160"/>
      <c r="AA645" s="160"/>
      <c r="AB645" s="160"/>
      <c r="AC645" s="160"/>
      <c r="AD645" s="190"/>
    </row>
    <row r="646" spans="14:30" x14ac:dyDescent="0.25">
      <c r="N646" s="170"/>
      <c r="P646" s="189"/>
      <c r="Q646" s="160"/>
      <c r="R646" s="160"/>
      <c r="S646" s="160"/>
      <c r="T646" s="160"/>
      <c r="U646" s="160"/>
      <c r="V646" s="160"/>
      <c r="X646" s="160"/>
      <c r="Y646" s="160"/>
      <c r="AA646" s="160"/>
      <c r="AB646" s="160"/>
      <c r="AC646" s="160"/>
      <c r="AD646" s="190"/>
    </row>
    <row r="647" spans="14:30" x14ac:dyDescent="0.25">
      <c r="N647" s="170"/>
      <c r="P647" s="189"/>
      <c r="Q647" s="160"/>
      <c r="R647" s="160"/>
      <c r="S647" s="160"/>
      <c r="T647" s="160"/>
      <c r="U647" s="160"/>
      <c r="V647" s="160"/>
      <c r="X647" s="160"/>
      <c r="Y647" s="160"/>
      <c r="AA647" s="160"/>
      <c r="AB647" s="160"/>
      <c r="AC647" s="160"/>
      <c r="AD647" s="190"/>
    </row>
    <row r="648" spans="14:30" x14ac:dyDescent="0.25">
      <c r="N648" s="170"/>
      <c r="P648" s="189"/>
      <c r="Q648" s="160"/>
      <c r="R648" s="160"/>
      <c r="S648" s="160"/>
      <c r="T648" s="160"/>
      <c r="U648" s="160"/>
      <c r="V648" s="160"/>
      <c r="X648" s="160"/>
      <c r="Y648" s="160"/>
      <c r="AA648" s="160"/>
      <c r="AB648" s="160"/>
      <c r="AC648" s="160"/>
      <c r="AD648" s="190"/>
    </row>
    <row r="649" spans="14:30" x14ac:dyDescent="0.25">
      <c r="N649" s="170"/>
      <c r="P649" s="189"/>
      <c r="Q649" s="160"/>
      <c r="R649" s="160"/>
      <c r="S649" s="160"/>
      <c r="T649" s="160"/>
      <c r="U649" s="160"/>
      <c r="V649" s="160"/>
      <c r="X649" s="160"/>
      <c r="Y649" s="160"/>
      <c r="AA649" s="160"/>
      <c r="AB649" s="160"/>
      <c r="AC649" s="160"/>
      <c r="AD649" s="190"/>
    </row>
    <row r="650" spans="14:30" x14ac:dyDescent="0.25">
      <c r="N650" s="170"/>
      <c r="P650" s="189"/>
      <c r="Q650" s="160"/>
      <c r="R650" s="160"/>
      <c r="S650" s="160"/>
      <c r="T650" s="160"/>
      <c r="U650" s="160"/>
      <c r="V650" s="160"/>
      <c r="X650" s="160"/>
      <c r="Y650" s="160"/>
      <c r="AA650" s="160"/>
      <c r="AB650" s="160"/>
      <c r="AC650" s="160"/>
      <c r="AD650" s="190"/>
    </row>
    <row r="651" spans="14:30" x14ac:dyDescent="0.25">
      <c r="N651" s="170"/>
      <c r="P651" s="189"/>
      <c r="Q651" s="160"/>
      <c r="R651" s="160"/>
      <c r="S651" s="160"/>
      <c r="T651" s="160"/>
      <c r="U651" s="160"/>
      <c r="V651" s="160"/>
      <c r="X651" s="160"/>
      <c r="Y651" s="160"/>
      <c r="AA651" s="160"/>
      <c r="AB651" s="160"/>
      <c r="AC651" s="160"/>
      <c r="AD651" s="190"/>
    </row>
    <row r="652" spans="14:30" x14ac:dyDescent="0.25">
      <c r="N652" s="170"/>
      <c r="P652" s="189"/>
      <c r="Q652" s="160"/>
      <c r="R652" s="160"/>
      <c r="S652" s="160"/>
      <c r="T652" s="160"/>
      <c r="U652" s="160"/>
      <c r="V652" s="160"/>
      <c r="X652" s="160"/>
      <c r="Y652" s="160"/>
      <c r="AA652" s="160"/>
      <c r="AB652" s="160"/>
      <c r="AC652" s="160"/>
      <c r="AD652" s="190"/>
    </row>
    <row r="653" spans="14:30" x14ac:dyDescent="0.25">
      <c r="N653" s="170"/>
      <c r="P653" s="189"/>
      <c r="Q653" s="160"/>
      <c r="R653" s="160"/>
      <c r="S653" s="160"/>
      <c r="T653" s="160"/>
      <c r="U653" s="160"/>
      <c r="V653" s="160"/>
      <c r="X653" s="160"/>
      <c r="Y653" s="160"/>
      <c r="AA653" s="160"/>
      <c r="AB653" s="160"/>
      <c r="AC653" s="160"/>
      <c r="AD653" s="190"/>
    </row>
    <row r="654" spans="14:30" x14ac:dyDescent="0.25">
      <c r="N654" s="170"/>
      <c r="P654" s="189"/>
      <c r="Q654" s="160"/>
      <c r="R654" s="160"/>
      <c r="S654" s="160"/>
      <c r="T654" s="160"/>
      <c r="U654" s="160"/>
      <c r="V654" s="160"/>
      <c r="X654" s="160"/>
      <c r="Y654" s="160"/>
      <c r="AA654" s="160"/>
      <c r="AB654" s="160"/>
      <c r="AC654" s="160"/>
      <c r="AD654" s="190"/>
    </row>
    <row r="655" spans="14:30" x14ac:dyDescent="0.25">
      <c r="N655" s="170"/>
      <c r="P655" s="189"/>
      <c r="Q655" s="160"/>
      <c r="R655" s="160"/>
      <c r="S655" s="160"/>
      <c r="T655" s="160"/>
      <c r="U655" s="160"/>
      <c r="V655" s="160"/>
      <c r="X655" s="160"/>
      <c r="Y655" s="160"/>
      <c r="AA655" s="160"/>
      <c r="AB655" s="160"/>
      <c r="AC655" s="160"/>
      <c r="AD655" s="190"/>
    </row>
    <row r="656" spans="14:30" x14ac:dyDescent="0.25">
      <c r="N656" s="170"/>
      <c r="P656" s="189"/>
      <c r="Q656" s="160"/>
      <c r="R656" s="160"/>
      <c r="S656" s="160"/>
      <c r="T656" s="160"/>
      <c r="U656" s="160"/>
      <c r="V656" s="160"/>
      <c r="X656" s="160"/>
      <c r="Y656" s="160"/>
      <c r="AA656" s="160"/>
      <c r="AB656" s="160"/>
      <c r="AC656" s="160"/>
      <c r="AD656" s="190"/>
    </row>
    <row r="657" spans="14:30" x14ac:dyDescent="0.25">
      <c r="N657" s="170"/>
      <c r="P657" s="189"/>
      <c r="Q657" s="160"/>
      <c r="R657" s="160"/>
      <c r="S657" s="160"/>
      <c r="T657" s="160"/>
      <c r="U657" s="160"/>
      <c r="V657" s="160"/>
      <c r="X657" s="160"/>
      <c r="Y657" s="160"/>
      <c r="AA657" s="160"/>
      <c r="AB657" s="160"/>
      <c r="AC657" s="160"/>
      <c r="AD657" s="190"/>
    </row>
    <row r="658" spans="14:30" x14ac:dyDescent="0.25">
      <c r="N658" s="170"/>
      <c r="P658" s="189"/>
      <c r="Q658" s="160"/>
      <c r="R658" s="160"/>
      <c r="S658" s="160"/>
      <c r="T658" s="160"/>
      <c r="U658" s="160"/>
      <c r="V658" s="160"/>
      <c r="X658" s="160"/>
      <c r="Y658" s="160"/>
      <c r="AA658" s="160"/>
      <c r="AB658" s="160"/>
      <c r="AC658" s="160"/>
      <c r="AD658" s="190"/>
    </row>
    <row r="659" spans="14:30" x14ac:dyDescent="0.25">
      <c r="N659" s="170"/>
      <c r="P659" s="189"/>
      <c r="Q659" s="160"/>
      <c r="R659" s="160"/>
      <c r="S659" s="160"/>
      <c r="T659" s="160"/>
      <c r="U659" s="160"/>
      <c r="V659" s="160"/>
      <c r="X659" s="160"/>
      <c r="Y659" s="160"/>
      <c r="AA659" s="160"/>
      <c r="AB659" s="160"/>
      <c r="AC659" s="160"/>
      <c r="AD659" s="190"/>
    </row>
    <row r="660" spans="14:30" x14ac:dyDescent="0.25">
      <c r="N660" s="170"/>
      <c r="P660" s="189"/>
      <c r="Q660" s="160"/>
      <c r="R660" s="160"/>
      <c r="S660" s="160"/>
      <c r="T660" s="160"/>
      <c r="U660" s="160"/>
      <c r="V660" s="160"/>
      <c r="X660" s="160"/>
      <c r="Y660" s="160"/>
      <c r="AA660" s="160"/>
      <c r="AB660" s="160"/>
      <c r="AC660" s="160"/>
      <c r="AD660" s="190"/>
    </row>
    <row r="661" spans="14:30" x14ac:dyDescent="0.25">
      <c r="N661" s="170"/>
      <c r="P661" s="189"/>
      <c r="Q661" s="160"/>
      <c r="R661" s="160"/>
      <c r="S661" s="160"/>
      <c r="T661" s="160"/>
      <c r="U661" s="160"/>
      <c r="V661" s="160"/>
      <c r="X661" s="160"/>
      <c r="Y661" s="160"/>
      <c r="AA661" s="160"/>
      <c r="AB661" s="160"/>
      <c r="AC661" s="160"/>
      <c r="AD661" s="190"/>
    </row>
    <row r="662" spans="14:30" x14ac:dyDescent="0.25">
      <c r="N662" s="170"/>
      <c r="P662" s="189"/>
      <c r="Q662" s="160"/>
      <c r="R662" s="160"/>
      <c r="S662" s="160"/>
      <c r="T662" s="160"/>
      <c r="U662" s="160"/>
      <c r="V662" s="160"/>
      <c r="X662" s="160"/>
      <c r="Y662" s="160"/>
      <c r="AA662" s="160"/>
      <c r="AB662" s="160"/>
      <c r="AC662" s="160"/>
      <c r="AD662" s="190"/>
    </row>
    <row r="663" spans="14:30" x14ac:dyDescent="0.25">
      <c r="N663" s="170"/>
      <c r="P663" s="189"/>
      <c r="Q663" s="160"/>
      <c r="R663" s="160"/>
      <c r="S663" s="160"/>
      <c r="T663" s="160"/>
      <c r="U663" s="160"/>
      <c r="V663" s="160"/>
      <c r="X663" s="160"/>
      <c r="Y663" s="160"/>
      <c r="AA663" s="160"/>
      <c r="AB663" s="160"/>
      <c r="AC663" s="160"/>
      <c r="AD663" s="190"/>
    </row>
    <row r="664" spans="14:30" x14ac:dyDescent="0.25">
      <c r="N664" s="170"/>
      <c r="P664" s="189"/>
      <c r="Q664" s="160"/>
      <c r="R664" s="160"/>
      <c r="S664" s="160"/>
      <c r="T664" s="160"/>
      <c r="U664" s="160"/>
      <c r="V664" s="160"/>
      <c r="X664" s="160"/>
      <c r="Y664" s="160"/>
      <c r="AA664" s="160"/>
      <c r="AB664" s="160"/>
      <c r="AC664" s="160"/>
      <c r="AD664" s="190"/>
    </row>
    <row r="665" spans="14:30" x14ac:dyDescent="0.25">
      <c r="N665" s="170"/>
      <c r="P665" s="189"/>
      <c r="Q665" s="160"/>
      <c r="R665" s="160"/>
      <c r="S665" s="160"/>
      <c r="T665" s="160"/>
      <c r="U665" s="160"/>
      <c r="V665" s="160"/>
      <c r="X665" s="160"/>
      <c r="Y665" s="160"/>
      <c r="AA665" s="160"/>
      <c r="AB665" s="160"/>
      <c r="AC665" s="160"/>
      <c r="AD665" s="190"/>
    </row>
    <row r="666" spans="14:30" x14ac:dyDescent="0.25">
      <c r="N666" s="170"/>
      <c r="P666" s="189"/>
      <c r="Q666" s="160"/>
      <c r="R666" s="160"/>
      <c r="S666" s="160"/>
      <c r="T666" s="160"/>
      <c r="U666" s="160"/>
      <c r="V666" s="160"/>
      <c r="X666" s="160"/>
      <c r="Y666" s="160"/>
      <c r="AA666" s="160"/>
      <c r="AB666" s="160"/>
      <c r="AC666" s="160"/>
      <c r="AD666" s="190"/>
    </row>
    <row r="667" spans="14:30" x14ac:dyDescent="0.25">
      <c r="N667" s="170"/>
      <c r="P667" s="189"/>
      <c r="Q667" s="160"/>
      <c r="R667" s="160"/>
      <c r="S667" s="160"/>
      <c r="T667" s="160"/>
      <c r="U667" s="160"/>
      <c r="V667" s="160"/>
      <c r="X667" s="160"/>
      <c r="Y667" s="160"/>
      <c r="AA667" s="160"/>
      <c r="AB667" s="160"/>
      <c r="AC667" s="160"/>
      <c r="AD667" s="190"/>
    </row>
    <row r="668" spans="14:30" x14ac:dyDescent="0.25">
      <c r="N668" s="170"/>
      <c r="P668" s="189"/>
      <c r="Q668" s="160"/>
      <c r="R668" s="160"/>
      <c r="S668" s="160"/>
      <c r="T668" s="160"/>
      <c r="U668" s="160"/>
      <c r="V668" s="160"/>
      <c r="X668" s="160"/>
      <c r="Y668" s="160"/>
      <c r="AA668" s="160"/>
      <c r="AB668" s="160"/>
      <c r="AC668" s="160"/>
      <c r="AD668" s="190"/>
    </row>
    <row r="669" spans="14:30" x14ac:dyDescent="0.25">
      <c r="N669" s="170"/>
      <c r="P669" s="189"/>
      <c r="Q669" s="160"/>
      <c r="R669" s="160"/>
      <c r="S669" s="160"/>
      <c r="T669" s="160"/>
      <c r="U669" s="160"/>
      <c r="V669" s="160"/>
      <c r="X669" s="160"/>
      <c r="Y669" s="160"/>
      <c r="AA669" s="160"/>
      <c r="AB669" s="160"/>
      <c r="AC669" s="160"/>
      <c r="AD669" s="190"/>
    </row>
    <row r="670" spans="14:30" x14ac:dyDescent="0.25">
      <c r="N670" s="170"/>
      <c r="P670" s="189"/>
      <c r="Q670" s="160"/>
      <c r="R670" s="160"/>
      <c r="S670" s="160"/>
      <c r="T670" s="160"/>
      <c r="U670" s="160"/>
      <c r="V670" s="160"/>
      <c r="X670" s="160"/>
      <c r="Y670" s="160"/>
      <c r="AA670" s="160"/>
      <c r="AB670" s="160"/>
      <c r="AC670" s="160"/>
      <c r="AD670" s="190"/>
    </row>
    <row r="671" spans="14:30" x14ac:dyDescent="0.25">
      <c r="N671" s="170"/>
      <c r="P671" s="189"/>
      <c r="Q671" s="160"/>
      <c r="R671" s="160"/>
      <c r="S671" s="160"/>
      <c r="T671" s="160"/>
      <c r="U671" s="160"/>
      <c r="V671" s="160"/>
      <c r="X671" s="160"/>
      <c r="Y671" s="160"/>
      <c r="AA671" s="160"/>
      <c r="AB671" s="160"/>
      <c r="AC671" s="160"/>
      <c r="AD671" s="190"/>
    </row>
    <row r="672" spans="14:30" x14ac:dyDescent="0.25">
      <c r="N672" s="170"/>
      <c r="P672" s="189"/>
      <c r="Q672" s="160"/>
      <c r="R672" s="160"/>
      <c r="S672" s="160"/>
      <c r="T672" s="160"/>
      <c r="U672" s="160"/>
      <c r="V672" s="160"/>
      <c r="X672" s="160"/>
      <c r="Y672" s="160"/>
      <c r="AA672" s="160"/>
      <c r="AB672" s="160"/>
      <c r="AC672" s="160"/>
      <c r="AD672" s="190"/>
    </row>
    <row r="673" spans="14:30" x14ac:dyDescent="0.25">
      <c r="N673" s="170"/>
      <c r="P673" s="189"/>
      <c r="Q673" s="160"/>
      <c r="R673" s="160"/>
      <c r="S673" s="160"/>
      <c r="T673" s="160"/>
      <c r="U673" s="160"/>
      <c r="V673" s="160"/>
      <c r="X673" s="160"/>
      <c r="Y673" s="160"/>
      <c r="AA673" s="160"/>
      <c r="AB673" s="160"/>
      <c r="AC673" s="160"/>
      <c r="AD673" s="190"/>
    </row>
    <row r="674" spans="14:30" x14ac:dyDescent="0.25">
      <c r="N674" s="170"/>
      <c r="P674" s="189"/>
      <c r="Q674" s="160"/>
      <c r="R674" s="160"/>
      <c r="S674" s="160"/>
      <c r="T674" s="160"/>
      <c r="U674" s="160"/>
      <c r="V674" s="160"/>
      <c r="X674" s="160"/>
      <c r="Y674" s="160"/>
      <c r="AA674" s="160"/>
      <c r="AB674" s="160"/>
      <c r="AC674" s="160"/>
      <c r="AD674" s="190"/>
    </row>
    <row r="675" spans="14:30" x14ac:dyDescent="0.25">
      <c r="N675" s="170"/>
      <c r="P675" s="189"/>
      <c r="Q675" s="160"/>
      <c r="R675" s="160"/>
      <c r="S675" s="160"/>
      <c r="T675" s="160"/>
      <c r="U675" s="160"/>
      <c r="V675" s="160"/>
      <c r="X675" s="160"/>
      <c r="Y675" s="160"/>
      <c r="AA675" s="160"/>
      <c r="AB675" s="160"/>
      <c r="AC675" s="160"/>
      <c r="AD675" s="190"/>
    </row>
    <row r="676" spans="14:30" x14ac:dyDescent="0.25">
      <c r="N676" s="170"/>
      <c r="P676" s="189"/>
      <c r="Q676" s="160"/>
      <c r="R676" s="160"/>
      <c r="S676" s="160"/>
      <c r="T676" s="160"/>
      <c r="U676" s="160"/>
      <c r="V676" s="160"/>
      <c r="X676" s="160"/>
      <c r="Y676" s="160"/>
      <c r="AA676" s="160"/>
      <c r="AB676" s="160"/>
      <c r="AC676" s="160"/>
      <c r="AD676" s="190"/>
    </row>
    <row r="677" spans="14:30" x14ac:dyDescent="0.25">
      <c r="N677" s="170"/>
      <c r="P677" s="189"/>
      <c r="Q677" s="160"/>
      <c r="R677" s="160"/>
      <c r="S677" s="160"/>
      <c r="T677" s="160"/>
      <c r="U677" s="160"/>
      <c r="V677" s="160"/>
      <c r="X677" s="160"/>
      <c r="Y677" s="160"/>
      <c r="AA677" s="160"/>
      <c r="AB677" s="160"/>
      <c r="AC677" s="160"/>
      <c r="AD677" s="190"/>
    </row>
    <row r="678" spans="14:30" x14ac:dyDescent="0.25">
      <c r="N678" s="170"/>
      <c r="P678" s="189"/>
      <c r="Q678" s="160"/>
      <c r="R678" s="160"/>
      <c r="S678" s="160"/>
      <c r="T678" s="160"/>
      <c r="U678" s="160"/>
      <c r="V678" s="160"/>
      <c r="X678" s="160"/>
      <c r="Y678" s="160"/>
      <c r="AA678" s="160"/>
      <c r="AB678" s="160"/>
      <c r="AC678" s="160"/>
      <c r="AD678" s="190"/>
    </row>
    <row r="679" spans="14:30" x14ac:dyDescent="0.25">
      <c r="N679" s="170"/>
      <c r="P679" s="189"/>
      <c r="Q679" s="160"/>
      <c r="R679" s="160"/>
      <c r="S679" s="160"/>
      <c r="T679" s="160"/>
      <c r="U679" s="160"/>
      <c r="V679" s="160"/>
      <c r="X679" s="160"/>
      <c r="Y679" s="160"/>
      <c r="AA679" s="160"/>
      <c r="AB679" s="160"/>
      <c r="AC679" s="160"/>
      <c r="AD679" s="190"/>
    </row>
    <row r="680" spans="14:30" x14ac:dyDescent="0.25">
      <c r="N680" s="170"/>
      <c r="P680" s="189"/>
      <c r="Q680" s="160"/>
      <c r="R680" s="160"/>
      <c r="S680" s="160"/>
      <c r="T680" s="160"/>
      <c r="U680" s="160"/>
      <c r="V680" s="160"/>
      <c r="X680" s="160"/>
      <c r="Y680" s="160"/>
      <c r="AA680" s="160"/>
      <c r="AB680" s="160"/>
      <c r="AC680" s="160"/>
      <c r="AD680" s="190"/>
    </row>
    <row r="681" spans="14:30" x14ac:dyDescent="0.25">
      <c r="N681" s="170"/>
      <c r="P681" s="189"/>
      <c r="Q681" s="160"/>
      <c r="R681" s="160"/>
      <c r="S681" s="160"/>
      <c r="T681" s="160"/>
      <c r="U681" s="160"/>
      <c r="V681" s="160"/>
      <c r="X681" s="160"/>
      <c r="Y681" s="160"/>
      <c r="AA681" s="160"/>
      <c r="AB681" s="160"/>
      <c r="AC681" s="160"/>
      <c r="AD681" s="190"/>
    </row>
    <row r="682" spans="14:30" x14ac:dyDescent="0.25">
      <c r="N682" s="170"/>
      <c r="P682" s="189"/>
      <c r="Q682" s="160"/>
      <c r="R682" s="160"/>
      <c r="S682" s="160"/>
      <c r="T682" s="160"/>
      <c r="U682" s="160"/>
      <c r="V682" s="160"/>
      <c r="X682" s="160"/>
      <c r="Y682" s="160"/>
      <c r="AA682" s="160"/>
      <c r="AB682" s="160"/>
      <c r="AC682" s="160"/>
      <c r="AD682" s="190"/>
    </row>
    <row r="683" spans="14:30" x14ac:dyDescent="0.25">
      <c r="N683" s="170"/>
      <c r="P683" s="189"/>
      <c r="Q683" s="160"/>
      <c r="R683" s="160"/>
      <c r="S683" s="160"/>
      <c r="T683" s="160"/>
      <c r="U683" s="160"/>
      <c r="V683" s="160"/>
      <c r="X683" s="160"/>
      <c r="Y683" s="160"/>
      <c r="AA683" s="160"/>
      <c r="AB683" s="160"/>
      <c r="AC683" s="160"/>
      <c r="AD683" s="190"/>
    </row>
    <row r="684" spans="14:30" x14ac:dyDescent="0.25">
      <c r="N684" s="170"/>
      <c r="P684" s="189"/>
      <c r="Q684" s="160"/>
      <c r="R684" s="160"/>
      <c r="S684" s="160"/>
      <c r="T684" s="160"/>
      <c r="U684" s="160"/>
      <c r="V684" s="160"/>
      <c r="X684" s="160"/>
      <c r="Y684" s="160"/>
      <c r="AA684" s="160"/>
      <c r="AB684" s="160"/>
      <c r="AC684" s="160"/>
      <c r="AD684" s="190"/>
    </row>
    <row r="685" spans="14:30" x14ac:dyDescent="0.25">
      <c r="N685" s="170"/>
      <c r="P685" s="189"/>
      <c r="Q685" s="160"/>
      <c r="R685" s="160"/>
      <c r="S685" s="160"/>
      <c r="T685" s="160"/>
      <c r="U685" s="160"/>
      <c r="V685" s="160"/>
      <c r="X685" s="160"/>
      <c r="Y685" s="160"/>
      <c r="AA685" s="160"/>
      <c r="AB685" s="160"/>
      <c r="AC685" s="160"/>
      <c r="AD685" s="190"/>
    </row>
    <row r="686" spans="14:30" x14ac:dyDescent="0.25">
      <c r="N686" s="170"/>
      <c r="P686" s="189"/>
      <c r="Q686" s="160"/>
      <c r="R686" s="160"/>
      <c r="S686" s="160"/>
      <c r="T686" s="160"/>
      <c r="U686" s="160"/>
      <c r="V686" s="160"/>
      <c r="X686" s="160"/>
      <c r="Y686" s="160"/>
      <c r="AA686" s="160"/>
      <c r="AB686" s="160"/>
      <c r="AC686" s="160"/>
      <c r="AD686" s="190"/>
    </row>
    <row r="687" spans="14:30" x14ac:dyDescent="0.25">
      <c r="N687" s="170"/>
      <c r="P687" s="189"/>
      <c r="Q687" s="160"/>
      <c r="R687" s="160"/>
      <c r="S687" s="160"/>
      <c r="T687" s="160"/>
      <c r="U687" s="160"/>
      <c r="V687" s="160"/>
      <c r="X687" s="160"/>
      <c r="Y687" s="160"/>
      <c r="AA687" s="160"/>
      <c r="AB687" s="160"/>
      <c r="AC687" s="160"/>
      <c r="AD687" s="190"/>
    </row>
    <row r="688" spans="14:30" x14ac:dyDescent="0.25">
      <c r="N688" s="170"/>
      <c r="P688" s="189"/>
      <c r="Q688" s="160"/>
      <c r="R688" s="160"/>
      <c r="S688" s="160"/>
      <c r="T688" s="160"/>
      <c r="U688" s="160"/>
      <c r="V688" s="160"/>
      <c r="X688" s="160"/>
      <c r="Y688" s="160"/>
      <c r="AA688" s="160"/>
      <c r="AB688" s="160"/>
      <c r="AC688" s="160"/>
      <c r="AD688" s="190"/>
    </row>
    <row r="689" spans="14:30" x14ac:dyDescent="0.25">
      <c r="N689" s="170"/>
      <c r="P689" s="189"/>
      <c r="Q689" s="160"/>
      <c r="R689" s="160"/>
      <c r="S689" s="160"/>
      <c r="T689" s="160"/>
      <c r="U689" s="160"/>
      <c r="V689" s="160"/>
      <c r="X689" s="160"/>
      <c r="Y689" s="160"/>
      <c r="AA689" s="160"/>
      <c r="AB689" s="160"/>
      <c r="AC689" s="160"/>
      <c r="AD689" s="190"/>
    </row>
    <row r="690" spans="14:30" x14ac:dyDescent="0.25">
      <c r="N690" s="170"/>
      <c r="P690" s="189"/>
      <c r="Q690" s="160"/>
      <c r="R690" s="160"/>
      <c r="S690" s="160"/>
      <c r="T690" s="160"/>
      <c r="U690" s="160"/>
      <c r="V690" s="160"/>
      <c r="X690" s="160"/>
      <c r="Y690" s="160"/>
      <c r="AA690" s="160"/>
      <c r="AB690" s="160"/>
      <c r="AC690" s="160"/>
      <c r="AD690" s="190"/>
    </row>
    <row r="691" spans="14:30" x14ac:dyDescent="0.25">
      <c r="N691" s="170"/>
      <c r="P691" s="189"/>
      <c r="Q691" s="160"/>
      <c r="R691" s="160"/>
      <c r="S691" s="160"/>
      <c r="T691" s="160"/>
      <c r="U691" s="160"/>
      <c r="V691" s="160"/>
      <c r="X691" s="160"/>
      <c r="Y691" s="160"/>
      <c r="AA691" s="160"/>
      <c r="AB691" s="160"/>
      <c r="AC691" s="160"/>
      <c r="AD691" s="190"/>
    </row>
    <row r="692" spans="14:30" x14ac:dyDescent="0.25">
      <c r="N692" s="170"/>
      <c r="P692" s="189"/>
      <c r="Q692" s="160"/>
      <c r="R692" s="160"/>
      <c r="S692" s="160"/>
      <c r="T692" s="160"/>
      <c r="U692" s="160"/>
      <c r="V692" s="160"/>
      <c r="X692" s="160"/>
      <c r="Y692" s="160"/>
      <c r="AA692" s="160"/>
      <c r="AB692" s="160"/>
      <c r="AC692" s="160"/>
      <c r="AD692" s="190"/>
    </row>
    <row r="693" spans="14:30" x14ac:dyDescent="0.25">
      <c r="N693" s="170"/>
      <c r="P693" s="189"/>
      <c r="Q693" s="160"/>
      <c r="R693" s="160"/>
      <c r="S693" s="160"/>
      <c r="T693" s="160"/>
      <c r="U693" s="160"/>
      <c r="V693" s="160"/>
      <c r="X693" s="160"/>
      <c r="Y693" s="160"/>
      <c r="AA693" s="160"/>
      <c r="AB693" s="160"/>
      <c r="AC693" s="160"/>
      <c r="AD693" s="190"/>
    </row>
    <row r="694" spans="14:30" x14ac:dyDescent="0.25">
      <c r="N694" s="170"/>
      <c r="P694" s="189"/>
      <c r="Q694" s="160"/>
      <c r="R694" s="160"/>
      <c r="S694" s="160"/>
      <c r="T694" s="160"/>
      <c r="U694" s="160"/>
      <c r="V694" s="160"/>
      <c r="X694" s="160"/>
      <c r="Y694" s="160"/>
      <c r="AA694" s="160"/>
      <c r="AB694" s="160"/>
      <c r="AC694" s="160"/>
      <c r="AD694" s="190"/>
    </row>
    <row r="695" spans="14:30" x14ac:dyDescent="0.25">
      <c r="N695" s="170"/>
      <c r="P695" s="189"/>
      <c r="Q695" s="160"/>
      <c r="R695" s="160"/>
      <c r="S695" s="160"/>
      <c r="T695" s="160"/>
      <c r="U695" s="160"/>
      <c r="V695" s="160"/>
      <c r="X695" s="160"/>
      <c r="Y695" s="160"/>
      <c r="AA695" s="160"/>
      <c r="AB695" s="160"/>
      <c r="AC695" s="160"/>
      <c r="AD695" s="190"/>
    </row>
    <row r="696" spans="14:30" x14ac:dyDescent="0.25">
      <c r="N696" s="170"/>
      <c r="P696" s="189"/>
      <c r="Q696" s="160"/>
      <c r="R696" s="160"/>
      <c r="S696" s="160"/>
      <c r="T696" s="160"/>
      <c r="U696" s="160"/>
      <c r="V696" s="160"/>
      <c r="X696" s="160"/>
      <c r="Y696" s="160"/>
      <c r="AA696" s="160"/>
      <c r="AB696" s="160"/>
      <c r="AC696" s="160"/>
      <c r="AD696" s="190"/>
    </row>
    <row r="697" spans="14:30" x14ac:dyDescent="0.25">
      <c r="N697" s="170"/>
      <c r="P697" s="189"/>
      <c r="Q697" s="160"/>
      <c r="R697" s="160"/>
      <c r="S697" s="160"/>
      <c r="T697" s="160"/>
      <c r="U697" s="160"/>
      <c r="V697" s="160"/>
      <c r="X697" s="160"/>
      <c r="Y697" s="160"/>
      <c r="AA697" s="160"/>
      <c r="AB697" s="160"/>
      <c r="AC697" s="160"/>
      <c r="AD697" s="190"/>
    </row>
    <row r="698" spans="14:30" x14ac:dyDescent="0.25">
      <c r="N698" s="170"/>
      <c r="P698" s="189"/>
      <c r="Q698" s="160"/>
      <c r="R698" s="160"/>
      <c r="S698" s="160"/>
      <c r="T698" s="160"/>
      <c r="U698" s="160"/>
      <c r="V698" s="160"/>
      <c r="X698" s="160"/>
      <c r="Y698" s="160"/>
      <c r="AA698" s="160"/>
      <c r="AB698" s="160"/>
      <c r="AC698" s="160"/>
      <c r="AD698" s="190"/>
    </row>
    <row r="699" spans="14:30" x14ac:dyDescent="0.25">
      <c r="N699" s="170"/>
      <c r="P699" s="189"/>
      <c r="Q699" s="160"/>
      <c r="R699" s="160"/>
      <c r="S699" s="160"/>
      <c r="T699" s="160"/>
      <c r="U699" s="160"/>
      <c r="V699" s="160"/>
      <c r="X699" s="160"/>
      <c r="Y699" s="160"/>
      <c r="AA699" s="160"/>
      <c r="AB699" s="160"/>
      <c r="AC699" s="160"/>
      <c r="AD699" s="190"/>
    </row>
    <row r="700" spans="14:30" x14ac:dyDescent="0.25">
      <c r="N700" s="170"/>
      <c r="P700" s="189"/>
      <c r="Q700" s="160"/>
      <c r="R700" s="160"/>
      <c r="S700" s="160"/>
      <c r="T700" s="160"/>
      <c r="U700" s="160"/>
      <c r="V700" s="160"/>
      <c r="X700" s="160"/>
      <c r="Y700" s="160"/>
      <c r="AA700" s="160"/>
      <c r="AB700" s="160"/>
      <c r="AC700" s="160"/>
      <c r="AD700" s="190"/>
    </row>
    <row r="701" spans="14:30" x14ac:dyDescent="0.25">
      <c r="N701" s="170"/>
      <c r="P701" s="189"/>
      <c r="Q701" s="160"/>
      <c r="R701" s="160"/>
      <c r="S701" s="160"/>
      <c r="T701" s="160"/>
      <c r="U701" s="160"/>
      <c r="V701" s="160"/>
      <c r="X701" s="160"/>
      <c r="Y701" s="160"/>
      <c r="AA701" s="160"/>
      <c r="AB701" s="160"/>
      <c r="AC701" s="160"/>
      <c r="AD701" s="190"/>
    </row>
    <row r="702" spans="14:30" x14ac:dyDescent="0.25">
      <c r="N702" s="170"/>
      <c r="P702" s="189"/>
      <c r="Q702" s="160"/>
      <c r="R702" s="160"/>
      <c r="S702" s="160"/>
      <c r="T702" s="160"/>
      <c r="U702" s="160"/>
      <c r="V702" s="160"/>
      <c r="X702" s="160"/>
      <c r="Y702" s="160"/>
      <c r="AA702" s="160"/>
      <c r="AB702" s="160"/>
      <c r="AC702" s="160"/>
      <c r="AD702" s="190"/>
    </row>
    <row r="703" spans="14:30" x14ac:dyDescent="0.25">
      <c r="N703" s="170"/>
      <c r="P703" s="189"/>
      <c r="Q703" s="160"/>
      <c r="R703" s="160"/>
      <c r="S703" s="160"/>
      <c r="T703" s="160"/>
      <c r="U703" s="160"/>
      <c r="V703" s="160"/>
      <c r="X703" s="160"/>
      <c r="Y703" s="160"/>
      <c r="AA703" s="160"/>
      <c r="AB703" s="160"/>
      <c r="AC703" s="160"/>
      <c r="AD703" s="190"/>
    </row>
    <row r="704" spans="14:30" x14ac:dyDescent="0.25">
      <c r="N704" s="170"/>
      <c r="P704" s="189"/>
      <c r="Q704" s="160"/>
      <c r="R704" s="160"/>
      <c r="S704" s="160"/>
      <c r="T704" s="160"/>
      <c r="U704" s="160"/>
      <c r="V704" s="160"/>
      <c r="X704" s="160"/>
      <c r="Y704" s="160"/>
      <c r="AA704" s="160"/>
      <c r="AB704" s="160"/>
      <c r="AC704" s="160"/>
      <c r="AD704" s="190"/>
    </row>
    <row r="705" spans="14:30" x14ac:dyDescent="0.25">
      <c r="N705" s="170"/>
      <c r="P705" s="189"/>
      <c r="Q705" s="160"/>
      <c r="R705" s="160"/>
      <c r="S705" s="160"/>
      <c r="T705" s="160"/>
      <c r="U705" s="160"/>
      <c r="V705" s="160"/>
      <c r="X705" s="160"/>
      <c r="Y705" s="160"/>
      <c r="AA705" s="160"/>
      <c r="AB705" s="160"/>
      <c r="AC705" s="160"/>
      <c r="AD705" s="190"/>
    </row>
    <row r="706" spans="14:30" x14ac:dyDescent="0.25">
      <c r="N706" s="170"/>
      <c r="P706" s="189"/>
      <c r="Q706" s="160"/>
      <c r="R706" s="160"/>
      <c r="S706" s="160"/>
      <c r="T706" s="160"/>
      <c r="U706" s="160"/>
      <c r="V706" s="160"/>
      <c r="X706" s="160"/>
      <c r="Y706" s="160"/>
      <c r="AA706" s="160"/>
      <c r="AB706" s="160"/>
      <c r="AC706" s="160"/>
      <c r="AD706" s="190"/>
    </row>
    <row r="707" spans="14:30" x14ac:dyDescent="0.25">
      <c r="N707" s="170"/>
      <c r="P707" s="189"/>
      <c r="Q707" s="160"/>
      <c r="R707" s="160"/>
      <c r="S707" s="160"/>
      <c r="T707" s="160"/>
      <c r="U707" s="160"/>
      <c r="V707" s="160"/>
      <c r="X707" s="160"/>
      <c r="Y707" s="160"/>
      <c r="AA707" s="160"/>
      <c r="AB707" s="160"/>
      <c r="AC707" s="160"/>
      <c r="AD707" s="190"/>
    </row>
    <row r="708" spans="14:30" x14ac:dyDescent="0.25">
      <c r="N708" s="170"/>
      <c r="P708" s="189"/>
      <c r="Q708" s="160"/>
      <c r="R708" s="160"/>
      <c r="S708" s="160"/>
      <c r="T708" s="160"/>
      <c r="U708" s="160"/>
      <c r="V708" s="160"/>
      <c r="X708" s="160"/>
      <c r="Y708" s="160"/>
      <c r="AA708" s="160"/>
      <c r="AB708" s="160"/>
      <c r="AC708" s="160"/>
      <c r="AD708" s="190"/>
    </row>
  </sheetData>
  <mergeCells count="29">
    <mergeCell ref="AP17:AR17"/>
    <mergeCell ref="AC17:AE17"/>
    <mergeCell ref="AS16:AU16"/>
    <mergeCell ref="AS17:AU17"/>
    <mergeCell ref="AG17:AI17"/>
    <mergeCell ref="AJ17:AL17"/>
    <mergeCell ref="AM17:AO17"/>
    <mergeCell ref="AF16:AR16"/>
    <mergeCell ref="AF4:AR4"/>
    <mergeCell ref="AS4:AU4"/>
    <mergeCell ref="Q5:S5"/>
    <mergeCell ref="T5:V5"/>
    <mergeCell ref="W5:Y5"/>
    <mergeCell ref="Z5:AB5"/>
    <mergeCell ref="AC5:AE5"/>
    <mergeCell ref="AG5:AI5"/>
    <mergeCell ref="AJ5:AL5"/>
    <mergeCell ref="AM5:AO5"/>
    <mergeCell ref="AP5:AR5"/>
    <mergeCell ref="AS5:AU5"/>
    <mergeCell ref="A1:M1"/>
    <mergeCell ref="E6:K6"/>
    <mergeCell ref="Q17:S17"/>
    <mergeCell ref="T17:V17"/>
    <mergeCell ref="W17:Y17"/>
    <mergeCell ref="P16:AE16"/>
    <mergeCell ref="Z17:AB17"/>
    <mergeCell ref="N1:X1"/>
    <mergeCell ref="P4:AE4"/>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53"/>
  <sheetViews>
    <sheetView zoomScale="70" zoomScaleNormal="70" workbookViewId="0">
      <selection activeCell="B51" sqref="B51"/>
    </sheetView>
  </sheetViews>
  <sheetFormatPr defaultRowHeight="15" x14ac:dyDescent="0.25"/>
  <cols>
    <col min="1" max="1" width="26.7109375" customWidth="1"/>
    <col min="2" max="2" width="25.5703125" customWidth="1"/>
    <col min="3" max="3" width="10.140625" customWidth="1"/>
  </cols>
  <sheetData>
    <row r="1" spans="1:9" ht="27.75" x14ac:dyDescent="0.4">
      <c r="A1" s="229" t="s">
        <v>80</v>
      </c>
      <c r="B1" s="229"/>
      <c r="C1" s="229"/>
      <c r="D1" s="229"/>
      <c r="E1" s="229"/>
      <c r="F1" s="229"/>
      <c r="G1" s="229"/>
      <c r="H1" s="229"/>
      <c r="I1" s="229"/>
    </row>
    <row r="2" spans="1:9" x14ac:dyDescent="0.25">
      <c r="A2" s="5"/>
      <c r="B2" s="5" t="s">
        <v>16</v>
      </c>
      <c r="C2" s="6"/>
      <c r="D2" s="4"/>
      <c r="E2" s="5"/>
      <c r="F2" s="5"/>
      <c r="G2" s="5"/>
      <c r="H2" s="5"/>
      <c r="I2" s="5"/>
    </row>
    <row r="3" spans="1:9" x14ac:dyDescent="0.25">
      <c r="A3" s="5"/>
      <c r="B3" s="5" t="s">
        <v>17</v>
      </c>
      <c r="C3" s="7"/>
      <c r="D3" s="4"/>
      <c r="E3" s="5"/>
      <c r="F3" s="5"/>
      <c r="G3" s="5"/>
      <c r="H3" s="5"/>
      <c r="I3" s="5"/>
    </row>
    <row r="4" spans="1:9" x14ac:dyDescent="0.25">
      <c r="A4" s="5"/>
      <c r="B4" s="5" t="s">
        <v>18</v>
      </c>
      <c r="C4" s="8"/>
      <c r="D4" s="4"/>
      <c r="E4" s="5"/>
      <c r="F4" s="5"/>
      <c r="G4" s="5"/>
      <c r="H4" s="5"/>
      <c r="I4" s="5"/>
    </row>
    <row r="5" spans="1:9" x14ac:dyDescent="0.25">
      <c r="A5" s="9" t="s">
        <v>19</v>
      </c>
      <c r="B5" s="9" t="s">
        <v>20</v>
      </c>
      <c r="C5" s="9" t="s">
        <v>21</v>
      </c>
      <c r="D5" s="4"/>
      <c r="E5" s="230" t="s">
        <v>22</v>
      </c>
      <c r="F5" s="230"/>
      <c r="G5" s="230"/>
      <c r="H5" s="230"/>
      <c r="I5" s="9"/>
    </row>
    <row r="6" spans="1:9" x14ac:dyDescent="0.25">
      <c r="A6" s="9"/>
      <c r="B6" s="9"/>
      <c r="C6" s="9"/>
      <c r="D6" s="4"/>
      <c r="E6" s="5"/>
      <c r="F6" s="5"/>
      <c r="G6" s="5"/>
      <c r="H6" s="5"/>
      <c r="I6" s="9"/>
    </row>
    <row r="7" spans="1:9" x14ac:dyDescent="0.25">
      <c r="A7" s="9" t="s">
        <v>58</v>
      </c>
      <c r="B7" s="9"/>
      <c r="C7" s="9"/>
      <c r="D7" s="4"/>
      <c r="E7" s="5"/>
      <c r="F7" s="5"/>
      <c r="G7" s="5"/>
      <c r="H7" s="5"/>
      <c r="I7" s="9"/>
    </row>
    <row r="8" spans="1:9" x14ac:dyDescent="0.25">
      <c r="A8" s="9"/>
      <c r="B8" s="9"/>
      <c r="C8" s="9"/>
      <c r="D8" s="4"/>
      <c r="E8" s="5"/>
      <c r="F8" s="5"/>
      <c r="G8" s="5"/>
      <c r="H8" s="5"/>
      <c r="I8" s="9"/>
    </row>
    <row r="9" spans="1:9" x14ac:dyDescent="0.25">
      <c r="A9" t="s">
        <v>47</v>
      </c>
      <c r="B9" s="12">
        <v>0.8</v>
      </c>
      <c r="D9" t="s">
        <v>50</v>
      </c>
    </row>
    <row r="10" spans="1:9" x14ac:dyDescent="0.25">
      <c r="A10" t="s">
        <v>51</v>
      </c>
      <c r="B10" s="13">
        <f>(1-B9)/(2.2*10^6)</f>
        <v>9.0909090909090888E-8</v>
      </c>
      <c r="C10" t="s">
        <v>54</v>
      </c>
      <c r="D10" t="s">
        <v>57</v>
      </c>
    </row>
    <row r="11" spans="1:9" x14ac:dyDescent="0.25">
      <c r="A11" t="s">
        <v>48</v>
      </c>
      <c r="B11" s="12">
        <v>0.85</v>
      </c>
      <c r="D11" t="s">
        <v>50</v>
      </c>
    </row>
    <row r="12" spans="1:9" x14ac:dyDescent="0.25">
      <c r="A12" t="s">
        <v>52</v>
      </c>
      <c r="B12" s="13">
        <f>(1-B11)/(2.2*10^6)</f>
        <v>6.8181818181818186E-8</v>
      </c>
      <c r="C12" t="s">
        <v>54</v>
      </c>
      <c r="D12" t="s">
        <v>56</v>
      </c>
    </row>
    <row r="13" spans="1:9" x14ac:dyDescent="0.25">
      <c r="A13" t="s">
        <v>49</v>
      </c>
      <c r="B13" s="12">
        <v>0.9</v>
      </c>
      <c r="D13" t="s">
        <v>50</v>
      </c>
    </row>
    <row r="14" spans="1:9" x14ac:dyDescent="0.25">
      <c r="A14" t="s">
        <v>53</v>
      </c>
      <c r="B14" s="13">
        <f>(1-B13)/(2.2*10^6)</f>
        <v>4.5454545454545444E-8</v>
      </c>
      <c r="C14" t="s">
        <v>54</v>
      </c>
      <c r="D14" t="s">
        <v>55</v>
      </c>
    </row>
    <row r="16" spans="1:9" x14ac:dyDescent="0.25">
      <c r="A16" t="s">
        <v>59</v>
      </c>
      <c r="B16" s="12">
        <v>0.9</v>
      </c>
      <c r="D16" t="s">
        <v>65</v>
      </c>
    </row>
    <row r="17" spans="1:4" x14ac:dyDescent="0.25">
      <c r="A17" t="s">
        <v>60</v>
      </c>
      <c r="B17" s="12">
        <v>0.93</v>
      </c>
      <c r="D17" t="s">
        <v>62</v>
      </c>
    </row>
    <row r="18" spans="1:4" x14ac:dyDescent="0.25">
      <c r="A18" t="s">
        <v>61</v>
      </c>
      <c r="B18" s="12">
        <v>0.96</v>
      </c>
      <c r="D18" t="s">
        <v>66</v>
      </c>
    </row>
    <row r="19" spans="1:4" x14ac:dyDescent="0.25">
      <c r="B19">
        <f>IF(((1-D_limit_nom)/Constants!B12)&lt;Fsw,2,1)</f>
        <v>1</v>
      </c>
      <c r="D19" t="s">
        <v>72</v>
      </c>
    </row>
    <row r="20" spans="1:4" x14ac:dyDescent="0.25">
      <c r="A20" t="s">
        <v>78</v>
      </c>
      <c r="B20" s="1">
        <f>CHOOSE(B19,D_limit_nom,(1-Constants!B12*Fsw))</f>
        <v>0.93</v>
      </c>
      <c r="D20" t="s">
        <v>79</v>
      </c>
    </row>
    <row r="22" spans="1:4" x14ac:dyDescent="0.25">
      <c r="A22" t="s">
        <v>88</v>
      </c>
      <c r="B22" s="12">
        <f>50*10^-9</f>
        <v>5.0000000000000004E-8</v>
      </c>
      <c r="C22" t="s">
        <v>54</v>
      </c>
      <c r="D22" t="s">
        <v>89</v>
      </c>
    </row>
    <row r="23" spans="1:4" x14ac:dyDescent="0.25">
      <c r="B23" s="12"/>
    </row>
    <row r="24" spans="1:4" ht="15.75" x14ac:dyDescent="0.25">
      <c r="A24" s="29" t="s">
        <v>171</v>
      </c>
    </row>
    <row r="25" spans="1:4" x14ac:dyDescent="0.25">
      <c r="A25" t="s">
        <v>144</v>
      </c>
      <c r="B25" s="12">
        <f>30*10^-6</f>
        <v>2.9999999999999997E-5</v>
      </c>
      <c r="C25" t="s">
        <v>11</v>
      </c>
      <c r="D25" t="s">
        <v>145</v>
      </c>
    </row>
    <row r="26" spans="1:4" x14ac:dyDescent="0.25">
      <c r="A26" t="s">
        <v>146</v>
      </c>
      <c r="B26" s="12">
        <v>1333</v>
      </c>
      <c r="C26" s="2" t="s">
        <v>36</v>
      </c>
      <c r="D26" t="s">
        <v>147</v>
      </c>
    </row>
    <row r="27" spans="1:4" x14ac:dyDescent="0.25">
      <c r="A27" t="s">
        <v>150</v>
      </c>
      <c r="B27" s="12">
        <f>0.1</f>
        <v>0.1</v>
      </c>
      <c r="C27" s="2" t="s">
        <v>10</v>
      </c>
      <c r="D27" t="s">
        <v>151</v>
      </c>
    </row>
    <row r="28" spans="1:4" x14ac:dyDescent="0.25">
      <c r="A28" t="s">
        <v>520</v>
      </c>
      <c r="B28" s="12">
        <v>2000</v>
      </c>
      <c r="C28" s="2" t="s">
        <v>36</v>
      </c>
      <c r="D28" t="s">
        <v>521</v>
      </c>
    </row>
    <row r="29" spans="1:4" x14ac:dyDescent="0.25">
      <c r="A29" t="s">
        <v>236</v>
      </c>
      <c r="B29" s="12">
        <f>0.145</f>
        <v>0.14499999999999999</v>
      </c>
      <c r="C29" t="s">
        <v>180</v>
      </c>
      <c r="D29" t="s">
        <v>238</v>
      </c>
    </row>
    <row r="30" spans="1:4" x14ac:dyDescent="0.25">
      <c r="A30" t="s">
        <v>240</v>
      </c>
      <c r="B30" s="12">
        <v>1</v>
      </c>
      <c r="C30" t="s">
        <v>180</v>
      </c>
      <c r="D30" t="s">
        <v>241</v>
      </c>
    </row>
    <row r="32" spans="1:4" x14ac:dyDescent="0.25">
      <c r="A32" s="33" t="s">
        <v>261</v>
      </c>
    </row>
    <row r="33" spans="1:4" x14ac:dyDescent="0.25">
      <c r="A33" t="s">
        <v>282</v>
      </c>
      <c r="B33">
        <v>1</v>
      </c>
      <c r="C33" t="s">
        <v>10</v>
      </c>
      <c r="D33" t="s">
        <v>283</v>
      </c>
    </row>
    <row r="34" spans="1:4" x14ac:dyDescent="0.25">
      <c r="A34" t="s">
        <v>265</v>
      </c>
      <c r="B34">
        <f>(2*10^-3)/1</f>
        <v>2E-3</v>
      </c>
      <c r="C34" t="s">
        <v>267</v>
      </c>
      <c r="D34" t="s">
        <v>266</v>
      </c>
    </row>
    <row r="36" spans="1:4" x14ac:dyDescent="0.25">
      <c r="A36" s="33" t="s">
        <v>334</v>
      </c>
    </row>
    <row r="37" spans="1:4" x14ac:dyDescent="0.25">
      <c r="A37" t="s">
        <v>335</v>
      </c>
      <c r="B37">
        <f>10*10^-6</f>
        <v>9.9999999999999991E-6</v>
      </c>
      <c r="C37" t="s">
        <v>11</v>
      </c>
      <c r="D37" t="s">
        <v>336</v>
      </c>
    </row>
    <row r="39" spans="1:4" x14ac:dyDescent="0.25">
      <c r="A39" s="33" t="s">
        <v>355</v>
      </c>
    </row>
    <row r="40" spans="1:4" x14ac:dyDescent="0.25">
      <c r="A40" t="s">
        <v>356</v>
      </c>
      <c r="B40">
        <v>1.5</v>
      </c>
      <c r="C40" t="s">
        <v>10</v>
      </c>
      <c r="D40" t="s">
        <v>359</v>
      </c>
    </row>
    <row r="41" spans="1:4" x14ac:dyDescent="0.25">
      <c r="A41" t="s">
        <v>357</v>
      </c>
      <c r="B41">
        <v>1.45</v>
      </c>
      <c r="C41" t="s">
        <v>10</v>
      </c>
      <c r="D41" t="s">
        <v>358</v>
      </c>
    </row>
    <row r="42" spans="1:4" x14ac:dyDescent="0.25">
      <c r="A42" t="s">
        <v>362</v>
      </c>
      <c r="B42">
        <f>5*10^-6</f>
        <v>4.9999999999999996E-6</v>
      </c>
      <c r="C42" t="s">
        <v>11</v>
      </c>
      <c r="D42" t="s">
        <v>363</v>
      </c>
    </row>
    <row r="44" spans="1:4" x14ac:dyDescent="0.25">
      <c r="A44" s="33" t="s">
        <v>420</v>
      </c>
    </row>
    <row r="45" spans="1:4" x14ac:dyDescent="0.25">
      <c r="A45" t="s">
        <v>421</v>
      </c>
      <c r="B45">
        <v>6.75</v>
      </c>
      <c r="C45" t="s">
        <v>10</v>
      </c>
      <c r="D45" t="s">
        <v>422</v>
      </c>
    </row>
    <row r="47" spans="1:4" x14ac:dyDescent="0.25">
      <c r="A47" s="33" t="s">
        <v>439</v>
      </c>
    </row>
    <row r="48" spans="1:4" x14ac:dyDescent="0.25">
      <c r="A48" t="s">
        <v>440</v>
      </c>
      <c r="B48">
        <f>450*(10^-6)</f>
        <v>4.4999999999999999E-4</v>
      </c>
      <c r="C48" t="s">
        <v>11</v>
      </c>
      <c r="D48" t="s">
        <v>441</v>
      </c>
    </row>
    <row r="50" spans="1:4" x14ac:dyDescent="0.25">
      <c r="A50" t="s">
        <v>481</v>
      </c>
    </row>
    <row r="51" spans="1:4" x14ac:dyDescent="0.25">
      <c r="A51" t="s">
        <v>482</v>
      </c>
      <c r="B51">
        <v>1.5</v>
      </c>
      <c r="C51" t="s">
        <v>10</v>
      </c>
      <c r="D51" t="s">
        <v>483</v>
      </c>
    </row>
    <row r="52" spans="1:4" x14ac:dyDescent="0.25">
      <c r="A52" t="s">
        <v>485</v>
      </c>
      <c r="B52">
        <v>45</v>
      </c>
      <c r="C52" t="s">
        <v>10</v>
      </c>
      <c r="D52" t="s">
        <v>484</v>
      </c>
    </row>
    <row r="53" spans="1:4" x14ac:dyDescent="0.25">
      <c r="A53" t="s">
        <v>580</v>
      </c>
      <c r="B53">
        <v>60</v>
      </c>
      <c r="C53" t="s">
        <v>10</v>
      </c>
      <c r="D53" t="s">
        <v>581</v>
      </c>
    </row>
  </sheetData>
  <mergeCells count="2">
    <mergeCell ref="A1:I1"/>
    <mergeCell ref="E5:H5"/>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B3"/>
  <sheetViews>
    <sheetView topLeftCell="B1" zoomScale="70" zoomScaleNormal="70" workbookViewId="0">
      <selection activeCell="E3" sqref="E3"/>
    </sheetView>
  </sheetViews>
  <sheetFormatPr defaultRowHeight="15" x14ac:dyDescent="0.25"/>
  <cols>
    <col min="3" max="3" width="144.7109375" customWidth="1"/>
  </cols>
  <sheetData>
    <row r="2" spans="2:2" x14ac:dyDescent="0.25">
      <c r="B2" t="str">
        <f>"Eff_vs_IOUT"</f>
        <v>Eff_vs_IOUT</v>
      </c>
    </row>
    <row r="3" spans="2:2" ht="379.9" customHeight="1"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4"/>
  <sheetViews>
    <sheetView workbookViewId="0">
      <selection activeCell="A2" sqref="A2"/>
    </sheetView>
  </sheetViews>
  <sheetFormatPr defaultRowHeight="15" x14ac:dyDescent="0.25"/>
  <cols>
    <col min="2" max="2" width="76.140625" customWidth="1"/>
  </cols>
  <sheetData>
    <row r="1" spans="1:1" x14ac:dyDescent="0.25">
      <c r="A1" t="str">
        <f>IF('Design Converter'!H7&gt;=3,"SCH_1","SCH_2")</f>
        <v>SCH_1</v>
      </c>
    </row>
    <row r="2" spans="1:1" ht="267.60000000000002" customHeight="1" x14ac:dyDescent="0.25"/>
    <row r="4" spans="1:1" ht="267.60000000000002"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2:D11"/>
  <sheetViews>
    <sheetView workbookViewId="0">
      <selection activeCell="D20" sqref="D20"/>
    </sheetView>
  </sheetViews>
  <sheetFormatPr defaultRowHeight="15" x14ac:dyDescent="0.25"/>
  <sheetData>
    <row r="2" spans="1:4" x14ac:dyDescent="0.25">
      <c r="A2" t="s">
        <v>458</v>
      </c>
    </row>
    <row r="3" spans="1:4" x14ac:dyDescent="0.25">
      <c r="B3" s="47">
        <f>VIN_min</f>
        <v>8</v>
      </c>
    </row>
    <row r="4" spans="1:4" x14ac:dyDescent="0.25">
      <c r="B4" s="221">
        <f>VIN_nom</f>
        <v>24</v>
      </c>
      <c r="D4">
        <v>2.5</v>
      </c>
    </row>
    <row r="5" spans="1:4" x14ac:dyDescent="0.25">
      <c r="B5" s="222">
        <f>VIN_max</f>
        <v>24</v>
      </c>
    </row>
    <row r="8" spans="1:4" x14ac:dyDescent="0.25">
      <c r="A8" t="s">
        <v>552</v>
      </c>
    </row>
    <row r="9" spans="1:4" x14ac:dyDescent="0.25">
      <c r="B9" s="47" t="s">
        <v>495</v>
      </c>
    </row>
    <row r="10" spans="1:4" x14ac:dyDescent="0.25">
      <c r="B10" s="221" t="s">
        <v>496</v>
      </c>
    </row>
    <row r="11" spans="1:4" x14ac:dyDescent="0.25">
      <c r="B11" s="222"/>
    </row>
  </sheetData>
  <dataValidations count="3">
    <dataValidation type="list" allowBlank="1" showInputMessage="1" showErrorMessage="1" sqref="D4" xr:uid="{00000000-0002-0000-0700-000000000000}">
      <formula1>$B$3:$B$5</formula1>
    </dataValidation>
    <dataValidation type="decimal" allowBlank="1" showInputMessage="1" showErrorMessage="1" sqref="F4" xr:uid="{00000000-0002-0000-0700-000001000000}">
      <formula1>B3</formula1>
      <formula2>B5</formula2>
    </dataValidation>
    <dataValidation type="list" showDropDown="1" showInputMessage="1" showErrorMessage="1" sqref="I15" xr:uid="{00000000-0002-0000-0700-000002000000}">
      <formula1>$B$3:$B$5</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DCCB-1154-4E1B-AC0A-91A88D9D073F}">
  <sheetPr codeName="Sheet9"/>
  <dimension ref="A1:AM47"/>
  <sheetViews>
    <sheetView showGridLines="0" showRowColHeaders="0" zoomScaleNormal="100" workbookViewId="0">
      <selection activeCell="B5" sqref="B5"/>
    </sheetView>
  </sheetViews>
  <sheetFormatPr defaultColWidth="9.140625" defaultRowHeight="14.25" x14ac:dyDescent="0.2"/>
  <cols>
    <col min="1" max="1" width="25.7109375" style="150" bestFit="1" customWidth="1"/>
    <col min="2" max="2" width="56.5703125" style="151" customWidth="1"/>
    <col min="3" max="11" width="9.140625" style="144"/>
    <col min="12" max="12" width="20.42578125" style="144" customWidth="1"/>
    <col min="13" max="16384" width="9.140625" style="144"/>
  </cols>
  <sheetData>
    <row r="1" spans="1:12" x14ac:dyDescent="0.2">
      <c r="A1" s="246"/>
      <c r="B1" s="246"/>
      <c r="C1" s="246"/>
      <c r="D1" s="246"/>
      <c r="E1" s="246"/>
      <c r="F1" s="246"/>
      <c r="G1" s="246"/>
      <c r="H1" s="246"/>
      <c r="I1" s="246"/>
      <c r="J1" s="246"/>
      <c r="K1" s="246"/>
      <c r="L1" s="246"/>
    </row>
    <row r="2" spans="1:12" x14ac:dyDescent="0.2">
      <c r="A2" s="246"/>
      <c r="B2" s="246"/>
      <c r="C2" s="246"/>
      <c r="D2" s="246"/>
      <c r="E2" s="246"/>
      <c r="F2" s="246"/>
      <c r="G2" s="246"/>
      <c r="H2" s="246"/>
      <c r="I2" s="246"/>
      <c r="J2" s="246"/>
      <c r="K2" s="246"/>
      <c r="L2" s="246"/>
    </row>
    <row r="3" spans="1:12" x14ac:dyDescent="0.2">
      <c r="A3" s="246"/>
      <c r="B3" s="246"/>
      <c r="C3" s="246"/>
      <c r="D3" s="246"/>
      <c r="E3" s="246"/>
      <c r="F3" s="246"/>
      <c r="G3" s="246"/>
      <c r="H3" s="246"/>
      <c r="I3" s="246"/>
      <c r="J3" s="246"/>
      <c r="K3" s="246"/>
      <c r="L3" s="246"/>
    </row>
    <row r="4" spans="1:12" ht="12.75" customHeight="1" x14ac:dyDescent="0.2">
      <c r="A4" s="247"/>
      <c r="B4" s="247"/>
      <c r="C4" s="247"/>
      <c r="D4" s="247"/>
      <c r="E4" s="247"/>
      <c r="F4" s="247"/>
      <c r="G4" s="247"/>
      <c r="H4" s="247"/>
      <c r="I4" s="247"/>
      <c r="J4" s="247"/>
      <c r="K4" s="247"/>
      <c r="L4" s="247"/>
    </row>
    <row r="5" spans="1:12" x14ac:dyDescent="0.2">
      <c r="A5" s="145" t="s">
        <v>523</v>
      </c>
      <c r="B5" s="157" t="s">
        <v>575</v>
      </c>
      <c r="C5" s="147"/>
      <c r="D5" s="147"/>
      <c r="E5" s="147"/>
      <c r="F5" s="147"/>
      <c r="G5" s="147"/>
      <c r="H5" s="147"/>
      <c r="I5" s="147"/>
      <c r="J5" s="147"/>
      <c r="K5" s="148"/>
      <c r="L5" s="149"/>
    </row>
    <row r="6" spans="1:12" x14ac:dyDescent="0.2">
      <c r="A6" s="145"/>
      <c r="B6" s="146"/>
      <c r="C6" s="147"/>
      <c r="D6" s="147"/>
      <c r="E6" s="147"/>
      <c r="F6" s="147"/>
      <c r="G6" s="147"/>
      <c r="H6" s="147"/>
      <c r="I6" s="147"/>
      <c r="J6" s="149"/>
      <c r="K6" s="149"/>
      <c r="L6" s="149"/>
    </row>
    <row r="35" spans="1:39" x14ac:dyDescent="0.2">
      <c r="A35" s="152" t="s">
        <v>525</v>
      </c>
      <c r="B35" s="153"/>
      <c r="C35" s="147"/>
      <c r="D35" s="147"/>
      <c r="E35" s="147"/>
      <c r="F35" s="147"/>
      <c r="G35" s="147"/>
      <c r="H35" s="147"/>
      <c r="I35" s="147"/>
      <c r="J35" s="147"/>
      <c r="K35" s="147"/>
    </row>
    <row r="36" spans="1:39" x14ac:dyDescent="0.2">
      <c r="A36" s="154" t="s">
        <v>526</v>
      </c>
      <c r="B36" s="248" t="s">
        <v>527</v>
      </c>
      <c r="C36" s="248"/>
      <c r="D36" s="248"/>
      <c r="E36" s="248"/>
      <c r="F36" s="248"/>
      <c r="G36" s="248"/>
      <c r="H36" s="248"/>
      <c r="I36" s="248"/>
      <c r="J36" s="248"/>
      <c r="K36" s="248"/>
    </row>
    <row r="37" spans="1:39" x14ac:dyDescent="0.2">
      <c r="A37" s="152" t="s">
        <v>524</v>
      </c>
      <c r="B37" s="249" t="s">
        <v>528</v>
      </c>
      <c r="C37" s="249"/>
      <c r="D37" s="249"/>
      <c r="E37" s="249"/>
      <c r="F37" s="249"/>
      <c r="G37" s="249"/>
      <c r="H37" s="249"/>
      <c r="I37" s="249"/>
      <c r="J37" s="249"/>
      <c r="K37" s="249"/>
    </row>
    <row r="38" spans="1:39" ht="14.25" customHeight="1" x14ac:dyDescent="0.2">
      <c r="A38" s="156" t="s">
        <v>531</v>
      </c>
      <c r="B38" s="250" t="s">
        <v>532</v>
      </c>
      <c r="C38" s="250"/>
      <c r="D38" s="250"/>
      <c r="E38" s="250"/>
      <c r="F38" s="250"/>
      <c r="G38" s="250"/>
      <c r="H38" s="250"/>
      <c r="I38" s="250"/>
      <c r="J38" s="250"/>
      <c r="K38" s="250"/>
    </row>
    <row r="39" spans="1:39" ht="14.25" customHeight="1" x14ac:dyDescent="0.2">
      <c r="A39" s="156" t="s">
        <v>575</v>
      </c>
      <c r="B39" s="226" t="s">
        <v>576</v>
      </c>
      <c r="C39" s="226"/>
      <c r="D39" s="226"/>
      <c r="E39" s="226"/>
      <c r="F39" s="226"/>
      <c r="G39" s="226"/>
      <c r="H39" s="226"/>
      <c r="I39" s="226"/>
      <c r="J39" s="226"/>
      <c r="K39" s="226"/>
    </row>
    <row r="40" spans="1:39" ht="14.25" customHeight="1" x14ac:dyDescent="0.2">
      <c r="A40" s="156"/>
      <c r="B40" s="226"/>
      <c r="C40" s="226"/>
      <c r="D40" s="226"/>
      <c r="E40" s="226"/>
      <c r="F40" s="226"/>
      <c r="G40" s="226"/>
      <c r="H40" s="226"/>
      <c r="I40" s="226"/>
      <c r="J40" s="226"/>
      <c r="K40" s="226"/>
    </row>
    <row r="41" spans="1:39" ht="14.25" customHeight="1" x14ac:dyDescent="0.2">
      <c r="A41" s="156"/>
      <c r="B41" s="226"/>
      <c r="C41" s="226"/>
      <c r="D41" s="226"/>
      <c r="E41" s="226"/>
      <c r="F41" s="226"/>
      <c r="G41" s="226"/>
      <c r="H41" s="226"/>
      <c r="I41" s="226"/>
      <c r="J41" s="226"/>
      <c r="K41" s="226"/>
    </row>
    <row r="42" spans="1:39" x14ac:dyDescent="0.2">
      <c r="A42" s="156"/>
      <c r="B42" s="226"/>
      <c r="C42" s="226"/>
      <c r="D42" s="226"/>
      <c r="E42" s="226"/>
      <c r="F42" s="226"/>
      <c r="G42" s="226"/>
      <c r="H42" s="226"/>
      <c r="I42" s="226"/>
      <c r="J42" s="226"/>
      <c r="K42" s="226"/>
    </row>
    <row r="43" spans="1:39" x14ac:dyDescent="0.2">
      <c r="A43" s="156"/>
      <c r="B43" s="226"/>
      <c r="C43" s="226"/>
      <c r="D43" s="226"/>
      <c r="E43" s="226"/>
      <c r="F43" s="226"/>
      <c r="G43" s="226"/>
      <c r="H43" s="226"/>
      <c r="I43" s="226"/>
      <c r="J43" s="226"/>
      <c r="K43" s="226"/>
    </row>
    <row r="44" spans="1:39" ht="15" x14ac:dyDescent="0.2">
      <c r="A44" s="156"/>
      <c r="B44" s="226"/>
      <c r="C44" s="226"/>
      <c r="D44" s="226"/>
      <c r="E44" s="226"/>
      <c r="F44" s="226"/>
      <c r="G44" s="226"/>
      <c r="H44" s="226"/>
      <c r="I44" s="226"/>
      <c r="J44" s="226"/>
      <c r="K44" s="226"/>
      <c r="L44" s="155"/>
      <c r="M44" s="155"/>
      <c r="N44" s="155"/>
      <c r="O44" s="155"/>
      <c r="P44" s="155"/>
      <c r="Q44" s="155"/>
      <c r="R44" s="155"/>
      <c r="S44" s="155"/>
      <c r="T44" s="155"/>
      <c r="U44" s="155"/>
      <c r="V44" s="155"/>
      <c r="W44" s="155"/>
      <c r="X44" s="155"/>
      <c r="Y44" s="155"/>
      <c r="Z44" s="155"/>
      <c r="AA44" s="155"/>
      <c r="AB44" s="155"/>
      <c r="AC44" s="155"/>
      <c r="AD44" s="155"/>
      <c r="AE44" s="155"/>
      <c r="AF44" s="155"/>
      <c r="AG44" s="155"/>
      <c r="AH44" s="155"/>
      <c r="AI44" s="155"/>
      <c r="AJ44" s="155"/>
      <c r="AK44" s="155"/>
      <c r="AL44" s="155"/>
      <c r="AM44" s="155"/>
    </row>
    <row r="45" spans="1:39" x14ac:dyDescent="0.2">
      <c r="A45" s="156"/>
      <c r="B45" s="226"/>
      <c r="C45" s="226"/>
      <c r="D45" s="226"/>
      <c r="E45" s="226"/>
      <c r="F45" s="226"/>
      <c r="G45" s="226"/>
      <c r="H45" s="226"/>
      <c r="I45" s="226"/>
      <c r="J45" s="226"/>
      <c r="K45" s="226"/>
    </row>
    <row r="46" spans="1:39" x14ac:dyDescent="0.2">
      <c r="A46" s="156"/>
      <c r="B46" s="226"/>
      <c r="C46" s="226"/>
      <c r="D46" s="226"/>
      <c r="E46" s="226"/>
      <c r="F46" s="226"/>
      <c r="G46" s="226"/>
      <c r="H46" s="226"/>
      <c r="I46" s="226"/>
      <c r="J46" s="226"/>
      <c r="K46" s="226"/>
    </row>
    <row r="47" spans="1:39" x14ac:dyDescent="0.2">
      <c r="A47" s="156"/>
      <c r="B47" s="226"/>
    </row>
  </sheetData>
  <sheetProtection algorithmName="SHA-512" hashValue="w01gbvbP5UAcO48uUSPEcM42DLQN7csQvCqJuiQNlT2ekF2fq5jE6wMXzUF2sGQQxMvVP9g7SkV1wWRVLYe5KQ==" saltValue="LTIZtgTeeFd21Qi1VHycQA==" spinCount="100000" sheet="1" objects="1" scenarios="1" selectLockedCells="1" selectUnlockedCells="1"/>
  <mergeCells count="5">
    <mergeCell ref="A1:L3"/>
    <mergeCell ref="A4:L4"/>
    <mergeCell ref="B36:K36"/>
    <mergeCell ref="B37:K37"/>
    <mergeCell ref="B38:K3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
  <sheetViews>
    <sheetView workbookViewId="0">
      <selection activeCell="C31" sqref="C3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131</vt:i4>
      </vt:variant>
    </vt:vector>
  </HeadingPairs>
  <TitlesOfParts>
    <vt:vector size="141" baseType="lpstr">
      <vt:lpstr>Design Converter</vt:lpstr>
      <vt:lpstr>Variable_Management</vt:lpstr>
      <vt:lpstr>Eff_vs_IOUT</vt:lpstr>
      <vt:lpstr>Loop_Modeling</vt:lpstr>
      <vt:lpstr>Constants</vt:lpstr>
      <vt:lpstr>Plot_Management_Eff</vt:lpstr>
      <vt:lpstr>Plot_Management_Sch</vt:lpstr>
      <vt:lpstr>Lists</vt:lpstr>
      <vt:lpstr>Licenses</vt:lpstr>
      <vt:lpstr>Sheet1</vt:lpstr>
      <vt:lpstr>Acs</vt:lpstr>
      <vt:lpstr>Adc</vt:lpstr>
      <vt:lpstr>Adc_ea</vt:lpstr>
      <vt:lpstr>ADC_VINmin</vt:lpstr>
      <vt:lpstr>CCOMP</vt:lpstr>
      <vt:lpstr>CComp_calc</vt:lpstr>
      <vt:lpstr>CHF</vt:lpstr>
      <vt:lpstr>Comp_calc</vt:lpstr>
      <vt:lpstr>Cout</vt:lpstr>
      <vt:lpstr>Cout_min</vt:lpstr>
      <vt:lpstr>D_limit_max</vt:lpstr>
      <vt:lpstr>D_limit_min</vt:lpstr>
      <vt:lpstr>D_limit_nom</vt:lpstr>
      <vt:lpstr>Dc_CCM_VIN_max</vt:lpstr>
      <vt:lpstr>Dc_CCM_VIN_min</vt:lpstr>
      <vt:lpstr>Dc_CCM_VIN_nom</vt:lpstr>
      <vt:lpstr>Dc_DCM_VIN_nom</vt:lpstr>
      <vt:lpstr>Dc_max_IC</vt:lpstr>
      <vt:lpstr>Dc_max_ideal</vt:lpstr>
      <vt:lpstr>Dc_Mode</vt:lpstr>
      <vt:lpstr>Dc_Mode_Loop</vt:lpstr>
      <vt:lpstr>Dc_rip_max</vt:lpstr>
      <vt:lpstr>Dc_VIN_max</vt:lpstr>
      <vt:lpstr>Dc_VIN_min</vt:lpstr>
      <vt:lpstr>Dc_VIN_nom</vt:lpstr>
      <vt:lpstr>EFF_est</vt:lpstr>
      <vt:lpstr>Eff_vs_IOUT</vt:lpstr>
      <vt:lpstr>fcross</vt:lpstr>
      <vt:lpstr>fcross_est</vt:lpstr>
      <vt:lpstr>fp_ea_est</vt:lpstr>
      <vt:lpstr>Fsw</vt:lpstr>
      <vt:lpstr>fz_ea_est</vt:lpstr>
      <vt:lpstr>fz_rhp</vt:lpstr>
      <vt:lpstr>Gcomp</vt:lpstr>
      <vt:lpstr>Gea_mid_calc</vt:lpstr>
      <vt:lpstr>gfs</vt:lpstr>
      <vt:lpstr>gm_ea</vt:lpstr>
      <vt:lpstr>Gplant_fc_dB</vt:lpstr>
      <vt:lpstr>IIN_33</vt:lpstr>
      <vt:lpstr>IL_avg_VIN_max</vt:lpstr>
      <vt:lpstr>IL_avg_VIN_min</vt:lpstr>
      <vt:lpstr>IL_avg_VIN_nom</vt:lpstr>
      <vt:lpstr>IL_pk</vt:lpstr>
      <vt:lpstr>IL_pk_max</vt:lpstr>
      <vt:lpstr>ILp_VINmax</vt:lpstr>
      <vt:lpstr>ILp_VINmin</vt:lpstr>
      <vt:lpstr>ILp_VINnom</vt:lpstr>
      <vt:lpstr>ILrip</vt:lpstr>
      <vt:lpstr>ILrip_VINmax</vt:lpstr>
      <vt:lpstr>ILrip_VINmin</vt:lpstr>
      <vt:lpstr>ILrip_VINnom</vt:lpstr>
      <vt:lpstr>IOUT</vt:lpstr>
      <vt:lpstr>Ipk_margin</vt:lpstr>
      <vt:lpstr>Ipk_selected</vt:lpstr>
      <vt:lpstr>IQ</vt:lpstr>
      <vt:lpstr>IRMS_COUT</vt:lpstr>
      <vt:lpstr>Isl</vt:lpstr>
      <vt:lpstr>Iss</vt:lpstr>
      <vt:lpstr>Kslope</vt:lpstr>
      <vt:lpstr>L_DCM</vt:lpstr>
      <vt:lpstr>Lm</vt:lpstr>
      <vt:lpstr>Lopt</vt:lpstr>
      <vt:lpstr>Lopt_2</vt:lpstr>
      <vt:lpstr>POUT</vt:lpstr>
      <vt:lpstr>'Design Converter'!Print_Area</vt:lpstr>
      <vt:lpstr>Q</vt:lpstr>
      <vt:lpstr>Q_VINmin</vt:lpstr>
      <vt:lpstr>Qg_tot</vt:lpstr>
      <vt:lpstr>Qgd</vt:lpstr>
      <vt:lpstr>Qgs</vt:lpstr>
      <vt:lpstr>Qrr</vt:lpstr>
      <vt:lpstr>R_cs</vt:lpstr>
      <vt:lpstr>R_sl</vt:lpstr>
      <vt:lpstr>RCOMP</vt:lpstr>
      <vt:lpstr>Rcomp_calc</vt:lpstr>
      <vt:lpstr>Rcs_max</vt:lpstr>
      <vt:lpstr>Rcs_w_sl</vt:lpstr>
      <vt:lpstr>Rcs_wo_sl</vt:lpstr>
      <vt:lpstr>Rdcr</vt:lpstr>
      <vt:lpstr>RDS_on</vt:lpstr>
      <vt:lpstr>Resr</vt:lpstr>
      <vt:lpstr>RFBB</vt:lpstr>
      <vt:lpstr>RFBB_calc</vt:lpstr>
      <vt:lpstr>RFBT</vt:lpstr>
      <vt:lpstr>Rgate</vt:lpstr>
      <vt:lpstr>ROUT</vt:lpstr>
      <vt:lpstr>Rsl_int</vt:lpstr>
      <vt:lpstr>Rsl_max</vt:lpstr>
      <vt:lpstr>RT</vt:lpstr>
      <vt:lpstr>Ruvlo_bottom_calc</vt:lpstr>
      <vt:lpstr>Ruvlo_top</vt:lpstr>
      <vt:lpstr>Ruvlo_top_calc</vt:lpstr>
      <vt:lpstr>SCH_1</vt:lpstr>
      <vt:lpstr>SCH_2</vt:lpstr>
      <vt:lpstr>Se_VINmin</vt:lpstr>
      <vt:lpstr>Sn_VINmin</vt:lpstr>
      <vt:lpstr>tf_sw</vt:lpstr>
      <vt:lpstr>tr_sw</vt:lpstr>
      <vt:lpstr>tss</vt:lpstr>
      <vt:lpstr>UV_fall</vt:lpstr>
      <vt:lpstr>UV_I_hyst</vt:lpstr>
      <vt:lpstr>UV_rise</vt:lpstr>
      <vt:lpstr>Vcc</vt:lpstr>
      <vt:lpstr>Vcl</vt:lpstr>
      <vt:lpstr>Vd_rect</vt:lpstr>
      <vt:lpstr>VIN_33</vt:lpstr>
      <vt:lpstr>VIN_max</vt:lpstr>
      <vt:lpstr>VIN_min</vt:lpstr>
      <vt:lpstr>VIN_nom</vt:lpstr>
      <vt:lpstr>VIN_op_max</vt:lpstr>
      <vt:lpstr>VIN_op_max_56</vt:lpstr>
      <vt:lpstr>VIN_op_min</vt:lpstr>
      <vt:lpstr>VIN_var</vt:lpstr>
      <vt:lpstr>VOUT</vt:lpstr>
      <vt:lpstr>Vout_rip_sel</vt:lpstr>
      <vt:lpstr>Vref</vt:lpstr>
      <vt:lpstr>Vth</vt:lpstr>
      <vt:lpstr>Vuvlo_off</vt:lpstr>
      <vt:lpstr>Vuvlo_on</vt:lpstr>
      <vt:lpstr>wp_hf</vt:lpstr>
      <vt:lpstr>wp_lf</vt:lpstr>
      <vt:lpstr>wp_lf_VINmin</vt:lpstr>
      <vt:lpstr>wp0_ea</vt:lpstr>
      <vt:lpstr>wp1_ea</vt:lpstr>
      <vt:lpstr>wsl</vt:lpstr>
      <vt:lpstr>wsl_VINmin</vt:lpstr>
      <vt:lpstr>wz_ea</vt:lpstr>
      <vt:lpstr>wz_esr</vt:lpstr>
      <vt:lpstr>wz_esr_VINmin</vt:lpstr>
      <vt:lpstr>wz_rhp</vt:lpstr>
      <vt:lpstr>wz_RHP_VINmin</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BMC-BCS</dc:creator>
  <cp:lastModifiedBy>Eric Voisin</cp:lastModifiedBy>
  <cp:lastPrinted>2018-08-09T07:13:51Z</cp:lastPrinted>
  <dcterms:created xsi:type="dcterms:W3CDTF">2018-06-26T09:13:29Z</dcterms:created>
  <dcterms:modified xsi:type="dcterms:W3CDTF">2025-10-28T04:11:44Z</dcterms:modified>
</cp:coreProperties>
</file>